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8" yWindow="12" windowWidth="19416" windowHeight="10296" tabRatio="831" activeTab="2"/>
  </bookViews>
  <sheets>
    <sheet name="Custo por trabalhador - cálculo" sheetId="2" r:id="rId1"/>
    <sheet name="QUANT.PESSOAS-CADERNO TÉCNICO" sheetId="8" r:id="rId2"/>
    <sheet name="PRODUTIVIDADE" sheetId="7" r:id="rId3"/>
    <sheet name="SERVENTE" sheetId="3" r:id="rId4"/>
    <sheet name="ENCARREGADO" sheetId="4" r:id="rId5"/>
    <sheet name="JARDINAGEM" sheetId="5" r:id="rId6"/>
    <sheet name="CUSTO SUBST FÉRIAS" sheetId="6" r:id="rId7"/>
  </sheets>
  <definedNames>
    <definedName name="_xlnm.Print_Area" localSheetId="2">PRODUTIVIDADE!$A$1:$G$89</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8" i="7" l="1"/>
  <c r="C124" i="5" l="1"/>
  <c r="C146" i="5"/>
  <c r="D135" i="5"/>
  <c r="D133" i="5"/>
  <c r="D10" i="6"/>
  <c r="D8" i="6"/>
  <c r="D7" i="6"/>
  <c r="D6" i="6"/>
  <c r="D5" i="6"/>
  <c r="D4" i="6"/>
  <c r="D3" i="6"/>
  <c r="C148" i="4"/>
  <c r="C147" i="4"/>
  <c r="C142" i="4"/>
  <c r="D136" i="4"/>
  <c r="D135" i="4"/>
  <c r="D133" i="4"/>
  <c r="C112" i="4"/>
  <c r="C93" i="4"/>
  <c r="C11" i="6"/>
  <c r="C9" i="6"/>
  <c r="C8" i="6"/>
  <c r="C7" i="6"/>
  <c r="C6" i="6"/>
  <c r="C5" i="6"/>
  <c r="C4" i="6"/>
  <c r="C3" i="6"/>
  <c r="C146" i="3"/>
  <c r="D134" i="3"/>
  <c r="D132" i="3"/>
  <c r="C92" i="3"/>
  <c r="B11" i="6"/>
  <c r="B9" i="6"/>
  <c r="B8" i="6"/>
  <c r="B7" i="6"/>
  <c r="B6" i="6"/>
  <c r="B5" i="6"/>
  <c r="B4" i="6"/>
  <c r="B3" i="6"/>
  <c r="E26" i="5" l="1"/>
  <c r="E24" i="5"/>
  <c r="C60" i="5"/>
  <c r="D69" i="7" l="1"/>
  <c r="D12" i="8"/>
  <c r="D13" i="8"/>
  <c r="D25" i="8"/>
  <c r="D18" i="8"/>
  <c r="D27" i="8" s="1"/>
  <c r="D22" i="8"/>
  <c r="D17" i="8"/>
  <c r="B10" i="8"/>
  <c r="D15" i="8"/>
  <c r="D10" i="8"/>
  <c r="D9" i="8"/>
  <c r="D8" i="8"/>
  <c r="D6" i="8"/>
  <c r="D4" i="8"/>
  <c r="C79" i="4"/>
  <c r="C112" i="3" l="1"/>
  <c r="C113" i="4"/>
  <c r="B25" i="8" l="1"/>
  <c r="B18" i="8"/>
  <c r="D88" i="7" l="1"/>
  <c r="F88" i="7" s="1"/>
  <c r="D87" i="7"/>
  <c r="D83" i="7"/>
  <c r="F83" i="7" s="1"/>
  <c r="D82" i="7"/>
  <c r="F82" i="7" s="1"/>
  <c r="C136" i="4"/>
  <c r="C136" i="5"/>
  <c r="C106" i="5"/>
  <c r="C113" i="5" s="1"/>
  <c r="C124" i="4"/>
  <c r="C146" i="4" s="1"/>
  <c r="C83" i="5"/>
  <c r="C79" i="5"/>
  <c r="C78" i="3"/>
  <c r="C53" i="5"/>
  <c r="C82" i="5" s="1"/>
  <c r="C29" i="5"/>
  <c r="C123" i="3"/>
  <c r="C145" i="3" s="1"/>
  <c r="C99" i="4"/>
  <c r="C114" i="4" s="1"/>
  <c r="C145" i="4" s="1"/>
  <c r="C83" i="4"/>
  <c r="C81" i="3"/>
  <c r="C80" i="4"/>
  <c r="C84" i="4" s="1"/>
  <c r="C144" i="4" s="1"/>
  <c r="D46" i="4"/>
  <c r="D47" i="4"/>
  <c r="D48" i="4"/>
  <c r="D49" i="4"/>
  <c r="D50" i="4"/>
  <c r="D51" i="4"/>
  <c r="D52" i="4"/>
  <c r="D45" i="4"/>
  <c r="D53" i="4" s="1"/>
  <c r="C70" i="4" s="1"/>
  <c r="D44" i="3"/>
  <c r="C53" i="4"/>
  <c r="C82" i="4" s="1"/>
  <c r="C135" i="3"/>
  <c r="C98" i="3"/>
  <c r="C111" i="3" s="1"/>
  <c r="C113" i="3" s="1"/>
  <c r="C144" i="3" s="1"/>
  <c r="C10" i="6"/>
  <c r="B10" i="6"/>
  <c r="C52" i="3"/>
  <c r="C29" i="3"/>
  <c r="C58" i="3" s="1"/>
  <c r="D46" i="3"/>
  <c r="D45" i="3"/>
  <c r="D47" i="3"/>
  <c r="D48" i="3"/>
  <c r="D52" i="3" s="1"/>
  <c r="D49" i="3"/>
  <c r="D50" i="3"/>
  <c r="D51" i="3"/>
  <c r="C38" i="4"/>
  <c r="C37" i="3"/>
  <c r="B268" i="2"/>
  <c r="C60" i="4"/>
  <c r="C59" i="4"/>
  <c r="C63" i="4" s="1"/>
  <c r="C71" i="4" s="1"/>
  <c r="C37" i="4"/>
  <c r="C39" i="4" s="1"/>
  <c r="C69" i="4" s="1"/>
  <c r="C29" i="4"/>
  <c r="C141" i="3"/>
  <c r="C59" i="3"/>
  <c r="F84" i="7" l="1"/>
  <c r="C59" i="5"/>
  <c r="C80" i="5"/>
  <c r="D45" i="5"/>
  <c r="D48" i="5"/>
  <c r="C38" i="5"/>
  <c r="C37" i="5"/>
  <c r="C84" i="5"/>
  <c r="D9" i="6" s="1"/>
  <c r="F87" i="7"/>
  <c r="D51" i="5"/>
  <c r="D47" i="5"/>
  <c r="D50" i="5"/>
  <c r="C82" i="3"/>
  <c r="C63" i="5"/>
  <c r="C71" i="5" s="1"/>
  <c r="C142" i="5"/>
  <c r="C79" i="3"/>
  <c r="C83" i="3" s="1"/>
  <c r="D49" i="5"/>
  <c r="D46" i="5"/>
  <c r="D52" i="5"/>
  <c r="C72" i="4"/>
  <c r="C143" i="4" s="1"/>
  <c r="C62" i="3"/>
  <c r="C70" i="3" s="1"/>
  <c r="C69" i="3"/>
  <c r="C36" i="3"/>
  <c r="C38" i="3" s="1"/>
  <c r="C68" i="3" s="1"/>
  <c r="C144" i="5" l="1"/>
  <c r="C39" i="5"/>
  <c r="C69" i="5" s="1"/>
  <c r="C143" i="3"/>
  <c r="D134" i="4"/>
  <c r="D132" i="4"/>
  <c r="D53" i="5"/>
  <c r="C70" i="5" s="1"/>
  <c r="C71" i="3"/>
  <c r="C142" i="3" s="1"/>
  <c r="C149" i="4" l="1"/>
  <c r="C72" i="5"/>
  <c r="C143" i="5" s="1"/>
  <c r="C148" i="3"/>
  <c r="D131" i="3"/>
  <c r="D11" i="6"/>
  <c r="C93" i="5" s="1"/>
  <c r="C99" i="5" s="1"/>
  <c r="C112" i="5" s="1"/>
  <c r="C114" i="5" s="1"/>
  <c r="C145" i="5" s="1"/>
  <c r="C205" i="2"/>
  <c r="C206" i="2" s="1"/>
  <c r="C207" i="2" s="1"/>
  <c r="C208" i="2" s="1"/>
  <c r="C209" i="2" s="1"/>
  <c r="B196" i="2"/>
  <c r="B197" i="2" s="1"/>
  <c r="B198" i="2" s="1"/>
  <c r="B199" i="2" s="1"/>
  <c r="B200" i="2" s="1"/>
  <c r="B167" i="2"/>
  <c r="B168" i="2" s="1"/>
  <c r="B169" i="2" s="1"/>
  <c r="B170" i="2" s="1"/>
  <c r="B171" i="2" s="1"/>
  <c r="D42" i="2"/>
  <c r="C29" i="2"/>
  <c r="C30" i="2" s="1"/>
  <c r="C31" i="2" s="1"/>
  <c r="C32" i="2" s="1"/>
  <c r="C33" i="2" s="1"/>
  <c r="C147" i="5" l="1"/>
  <c r="C149" i="5"/>
  <c r="B77" i="7" s="1"/>
  <c r="E77" i="7" s="1"/>
  <c r="D132" i="5"/>
  <c r="C134" i="2"/>
  <c r="D134" i="5" l="1"/>
  <c r="D136" i="5" s="1"/>
  <c r="D33" i="2"/>
  <c r="D32" i="2"/>
  <c r="D31" i="2"/>
  <c r="D30" i="2"/>
  <c r="D29" i="2"/>
  <c r="D28" i="2"/>
  <c r="B269" i="2" l="1"/>
  <c r="B272" i="2" s="1"/>
  <c r="C504" i="2"/>
  <c r="C505" i="2"/>
  <c r="C506" i="2"/>
  <c r="C507" i="2"/>
  <c r="C508" i="2"/>
  <c r="B504" i="2"/>
  <c r="B505" i="2"/>
  <c r="B506" i="2"/>
  <c r="B507" i="2"/>
  <c r="B508" i="2"/>
  <c r="B503" i="2"/>
  <c r="C503" i="2"/>
  <c r="D503" i="2" l="1"/>
  <c r="D505" i="2"/>
  <c r="C532" i="2"/>
  <c r="C533" i="2" s="1"/>
  <c r="C520" i="2"/>
  <c r="C521" i="2"/>
  <c r="C522" i="2"/>
  <c r="C523" i="2"/>
  <c r="C524" i="2"/>
  <c r="C519" i="2"/>
  <c r="B21" i="2" l="1"/>
  <c r="D21" i="2" s="1"/>
  <c r="D45" i="2"/>
  <c r="D46" i="2"/>
  <c r="C73" i="2" l="1"/>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G70" i="2"/>
  <c r="C72" i="2"/>
  <c r="C71" i="2"/>
  <c r="C70" i="2"/>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l="1"/>
  <c r="D114" i="2"/>
  <c r="E114" i="2" s="1"/>
  <c r="B147" i="2" s="1"/>
  <c r="D147"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 r="D4" i="7"/>
  <c r="C32" i="7" s="1"/>
  <c r="D32" i="7" s="1"/>
  <c r="C20" i="7" l="1"/>
  <c r="C11" i="7"/>
  <c r="D11" i="7" s="1"/>
  <c r="C15" i="7"/>
  <c r="C44" i="7" s="1"/>
  <c r="D44" i="7" s="1"/>
  <c r="C24" i="7"/>
  <c r="D24" i="7" s="1"/>
  <c r="F51" i="7" l="1"/>
  <c r="G51" i="7" s="1"/>
  <c r="C36" i="7"/>
  <c r="D36" i="7" s="1"/>
  <c r="C40" i="7"/>
  <c r="D40" i="7" s="1"/>
  <c r="D15" i="7"/>
  <c r="D20" i="7"/>
  <c r="D133" i="3" l="1"/>
  <c r="D135" i="3" s="1"/>
  <c r="D5" i="7"/>
  <c r="C33" i="7" s="1"/>
  <c r="D33" i="7" l="1"/>
  <c r="D34" i="7" s="1"/>
  <c r="C64" i="7" s="1"/>
  <c r="E64" i="7" s="1"/>
  <c r="C21" i="7"/>
  <c r="C12" i="7"/>
  <c r="D12" i="7" s="1"/>
  <c r="D13" i="7" s="1"/>
  <c r="C57" i="7" s="1"/>
  <c r="C25" i="7"/>
  <c r="D25" i="7" s="1"/>
  <c r="D26" i="7" s="1"/>
  <c r="C60" i="7" s="1"/>
  <c r="E60" i="7" s="1"/>
  <c r="C16" i="7"/>
  <c r="C45" i="7" s="1"/>
  <c r="D45" i="7" l="1"/>
  <c r="D46" i="7" s="1"/>
  <c r="C41" i="7"/>
  <c r="C37" i="7"/>
  <c r="D37" i="7" s="1"/>
  <c r="F52" i="7"/>
  <c r="G52" i="7" s="1"/>
  <c r="G53" i="7" s="1"/>
  <c r="C71" i="7" l="1"/>
  <c r="E71" i="7" s="1"/>
  <c r="E72" i="7" s="1"/>
  <c r="D21" i="7"/>
  <c r="D22" i="7" s="1"/>
  <c r="C59" i="7" s="1"/>
  <c r="D41" i="7"/>
  <c r="D42" i="7" s="1"/>
  <c r="D38" i="7"/>
  <c r="C65" i="7" s="1"/>
  <c r="E65" i="7" s="1"/>
  <c r="D16" i="7"/>
  <c r="D17" i="7" s="1"/>
  <c r="C58" i="7" s="1"/>
  <c r="E58" i="7" s="1"/>
  <c r="E57" i="7"/>
  <c r="C67" i="7" l="1"/>
  <c r="E67" i="7" s="1"/>
  <c r="C66" i="7"/>
  <c r="E66" i="7" s="1"/>
  <c r="E59" i="7"/>
  <c r="E61" i="7" s="1"/>
  <c r="B76" i="7" l="1"/>
  <c r="E76" i="7" l="1"/>
  <c r="E79" i="7" s="1"/>
  <c r="B79" i="7"/>
</calcChain>
</file>

<file path=xl/comments1.xml><?xml version="1.0" encoding="utf-8"?>
<comments xmlns="http://schemas.openxmlformats.org/spreadsheetml/2006/main">
  <authors>
    <author>Scheyla Cristina de Souza Belmiro do Amaral</author>
  </authors>
  <commentList>
    <comment ref="B12" authorId="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text>
        <r>
          <rPr>
            <b/>
            <sz val="9"/>
            <color indexed="81"/>
            <rFont val="Segoe UI"/>
            <family val="2"/>
          </rPr>
          <t xml:space="preserve">Seges: </t>
        </r>
        <r>
          <rPr>
            <sz val="9"/>
            <color indexed="81"/>
            <rFont val="Segoe UI"/>
            <family val="2"/>
          </rPr>
          <t>Por tratar-se de planilha mensal será contabilizado 1/12 avos do custo.</t>
        </r>
      </text>
    </comment>
    <comment ref="A90" authorId="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text>
        <r>
          <rPr>
            <b/>
            <sz val="9"/>
            <color indexed="81"/>
            <rFont val="Segoe UI"/>
            <family val="2"/>
          </rPr>
          <t xml:space="preserve">Seges: </t>
        </r>
        <r>
          <rPr>
            <sz val="9"/>
            <color indexed="81"/>
            <rFont val="Segoe UI"/>
            <family val="2"/>
          </rPr>
          <t xml:space="preserve">Observar desconto informado em Convenção Coletiva.
</t>
        </r>
      </text>
    </comment>
    <comment ref="B204" authorId="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<sst xmlns="http://schemas.openxmlformats.org/spreadsheetml/2006/main" count="1359" uniqueCount="490">
  <si>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</si>
  <si>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</si>
  <si>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</si>
  <si>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</si>
  <si>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</si>
  <si>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</si>
  <si>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</si>
  <si>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</si>
  <si>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</si>
  <si>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</si>
  <si>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</si>
  <si>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</si>
  <si>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</si>
  <si>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</si>
  <si>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</si>
  <si>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</si>
  <si>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</si>
  <si>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</si>
  <si>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</si>
  <si>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</si>
  <si>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</si>
  <si>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</si>
  <si>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</si>
  <si>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</si>
  <si>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</si>
  <si>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</si>
  <si>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</si>
  <si>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</si>
  <si>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</si>
  <si>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</si>
  <si>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</si>
  <si>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</si>
  <si>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</si>
  <si>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</si>
  <si>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</si>
  <si>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</si>
  <si>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</si>
  <si>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</si>
  <si>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</si>
  <si>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</si>
  <si>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</si>
  <si>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</si>
  <si>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</si>
  <si>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</si>
  <si>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</si>
  <si>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</si>
  <si>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</si>
  <si>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</si>
  <si>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</si>
  <si>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</si>
  <si>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</si>
  <si>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</si>
  <si>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</si>
  <si>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</si>
  <si>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</si>
  <si>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</si>
  <si>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</si>
  <si>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</si>
  <si>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</si>
  <si>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</si>
  <si>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</si>
  <si>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</si>
  <si>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</si>
  <si>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</si>
  <si>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</si>
  <si>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</si>
  <si>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</si>
  <si>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</si>
  <si>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</si>
  <si>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</si>
  <si>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</si>
  <si>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</si>
  <si>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</si>
  <si>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</si>
  <si>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</si>
  <si>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</si>
  <si>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</si>
  <si>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</si>
  <si>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</si>
  <si>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</si>
  <si>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</si>
  <si>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</si>
  <si>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</si>
  <si>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</si>
  <si>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</si>
  <si>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</si>
  <si>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</si>
  <si>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</si>
  <si>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</si>
  <si>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</si>
  <si>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</si>
  <si>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</si>
  <si>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</si>
  <si>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</si>
  <si>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</si>
  <si>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</si>
  <si>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</si>
  <si>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</si>
  <si>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</si>
  <si>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</si>
  <si>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</si>
  <si>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</si>
  <si>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</si>
  <si>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</si>
  <si>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</si>
  <si>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</si>
  <si>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</si>
  <si>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</si>
  <si>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</si>
  <si>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</si>
  <si>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</si>
  <si>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</si>
  <si>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</si>
  <si>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</si>
  <si>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</si>
  <si>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</si>
  <si>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</si>
  <si>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</si>
  <si>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</si>
  <si>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</si>
  <si>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</si>
  <si>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</si>
  <si>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</si>
  <si>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</si>
  <si>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</si>
  <si>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</si>
  <si>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</si>
  <si>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</si>
  <si>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</si>
  <si>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</si>
  <si>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</si>
  <si>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</si>
  <si>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</si>
  <si>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</si>
  <si>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</si>
  <si>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</si>
  <si>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</si>
  <si>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</si>
  <si>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</si>
  <si>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</si>
  <si>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</si>
  <si>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</si>
  <si>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</si>
  <si>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</si>
  <si>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</si>
  <si>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</si>
  <si>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</si>
  <si>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</si>
  <si>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</si>
  <si>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</si>
  <si>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</si>
  <si>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</si>
  <si>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</si>
  <si>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</si>
  <si>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</si>
  <si>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</si>
  <si>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</si>
  <si>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</si>
  <si>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</si>
  <si>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</si>
  <si>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</si>
  <si>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</si>
  <si>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</si>
  <si>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</si>
  <si>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</si>
  <si>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</si>
  <si>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</si>
  <si>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</si>
  <si>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</si>
  <si>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</si>
  <si>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</si>
  <si>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</si>
  <si>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</si>
  <si>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</si>
  <si>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</si>
  <si>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</si>
  <si>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</si>
  <si>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</si>
  <si>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</si>
  <si>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</si>
  <si>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</si>
  <si>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</si>
  <si>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</si>
  <si>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</si>
  <si>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</si>
  <si>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</si>
  <si>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</si>
  <si>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</si>
  <si>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</si>
  <si>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</si>
  <si>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</si>
  <si>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</si>
  <si>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</si>
  <si>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</si>
  <si>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</si>
  <si>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</si>
  <si>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</si>
  <si>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</si>
  <si>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</si>
  <si>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</si>
  <si>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</si>
  <si>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</si>
  <si>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</si>
  <si>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</si>
  <si>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</si>
  <si>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</si>
  <si>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</si>
  <si>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</si>
  <si>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</si>
  <si>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</si>
  <si>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</si>
  <si>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</si>
  <si>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</si>
  <si>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</si>
  <si>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</si>
  <si>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</si>
  <si>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</si>
  <si>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</si>
  <si>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</si>
  <si>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</si>
  <si>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H</t>
  </si>
  <si>
    <t xml:space="preserve">Total </t>
  </si>
  <si>
    <t>Submódulo 2.3 - Benefícios Mensais e Diários.</t>
  </si>
  <si>
    <t>2.3</t>
  </si>
  <si>
    <t>Benefícios Mensais e Diários</t>
  </si>
  <si>
    <t>Transporte</t>
  </si>
  <si>
    <t>Auxílio-Refeição/Alimentação</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</si>
  <si>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</si>
  <si>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</si>
  <si>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</si>
  <si>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</si>
  <si>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</si>
  <si>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</si>
  <si>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</si>
  <si>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</si>
  <si>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</si>
  <si>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</si>
  <si>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</si>
  <si>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</si>
  <si>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</si>
  <si>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</si>
  <si>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</si>
  <si>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</si>
  <si>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Afastamento Maternidade</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</si>
  <si>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</si>
  <si>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</si>
  <si>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</si>
  <si>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</si>
  <si>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</si>
  <si>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</si>
  <si>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</si>
  <si>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</si>
  <si>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</si>
  <si>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</si>
  <si>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</si>
  <si>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</si>
  <si>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</si>
  <si>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</si>
  <si>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</si>
  <si>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</si>
  <si>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</si>
  <si>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</si>
  <si>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</si>
  <si>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</si>
  <si>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</si>
  <si>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</si>
  <si>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</si>
  <si>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</si>
  <si>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</si>
  <si>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</si>
  <si>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</si>
  <si>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</si>
  <si>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</si>
  <si>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</si>
  <si>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</si>
  <si>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</si>
  <si>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</si>
  <si>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</si>
  <si>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Com ajustes após publicação da Lei n° 13.467,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</si>
  <si>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</si>
  <si>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</si>
  <si>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</si>
  <si>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</si>
  <si>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</si>
  <si>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</si>
  <si>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</si>
  <si>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</si>
  <si>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</si>
  <si>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</si>
  <si>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</si>
  <si>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</si>
  <si>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</si>
  <si>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</si>
  <si>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PLANILHA DE CUSTOS E FORMAÇÃO DE PREÇOS - SUDAM</t>
  </si>
  <si>
    <t>DISCRIMINAÇÃO DOS SERVIÇOS (DADOS REFERENTES À CONTRATAÇÃO)</t>
  </si>
  <si>
    <t>Data de apresentação da proposta (dia/mês/ano):</t>
  </si>
  <si>
    <t>Município/UF:</t>
  </si>
  <si>
    <t>Belém/PA</t>
  </si>
  <si>
    <t>Ano do Acordo, Convenção ou Dissídio Coletivo:</t>
  </si>
  <si>
    <t>Número de meses de execução contratual:</t>
  </si>
  <si>
    <t>IDENTIFICAÇÃO DO SERVIÇO</t>
  </si>
  <si>
    <t>Tipo de Serviço</t>
  </si>
  <si>
    <t>Unidade de Medida</t>
  </si>
  <si>
    <t>Quantidade total a contratar</t>
  </si>
  <si>
    <t>Posto</t>
  </si>
  <si>
    <t>PROCESSO: 59004.000512/2021-11</t>
  </si>
  <si>
    <t xml:space="preserve">PREGÃO ELETRÔNICO: </t>
  </si>
  <si>
    <t>CCT 2021/2022- SINELPA-SEAC - Nº   PA000067/2021</t>
  </si>
  <si>
    <t>Servente de limpeza em jornada semanal de 44h</t>
  </si>
  <si>
    <t>Transporte (44*3,60 = R$ 158,40 - 6%*(R$ 1.211,81)</t>
  </si>
  <si>
    <t>Benefício</t>
  </si>
  <si>
    <t xml:space="preserve">Auxílio-Refeição/Alimentação (R$ 19,82*22 = </t>
  </si>
  <si>
    <t>Outros (especificar) - SEGURO DE VIDA</t>
  </si>
  <si>
    <t>Encarregado de limpeza em jornada semanal de 44h</t>
  </si>
  <si>
    <t>Férias e Adicional de Férias (8,33%+2,78%=11,11%) x Remuneração)</t>
  </si>
  <si>
    <t>Custo de Reposição do Profissional residente  Nas Férias</t>
  </si>
  <si>
    <t>Salário</t>
  </si>
  <si>
    <t>13º Terceiro Salario</t>
  </si>
  <si>
    <t>1/3 de Férias</t>
  </si>
  <si>
    <t>Seguro de Vida</t>
  </si>
  <si>
    <t>SERVENTE</t>
  </si>
  <si>
    <t>ENCARREGADO</t>
  </si>
  <si>
    <t>JARDINEIRO</t>
  </si>
  <si>
    <t>C.1. Tributos Federais (PIS=0,65% / COFINS=3%)</t>
  </si>
  <si>
    <t>C.3. Tributos Municipais (ISS=5%)</t>
  </si>
  <si>
    <t xml:space="preserve"> ENCARREGADO</t>
  </si>
  <si>
    <t xml:space="preserve"> SERVENTE</t>
  </si>
  <si>
    <t>ÁREA INTERNA</t>
  </si>
  <si>
    <t>MÃO-DE-OBRA / TIPO DE ÁREA</t>
  </si>
  <si>
    <t>(1 X 2)</t>
  </si>
  <si>
    <t>SUB-TOTAL</t>
  </si>
  <si>
    <t>1/1200</t>
  </si>
  <si>
    <t>Sub-Total 4</t>
  </si>
  <si>
    <t>Sub-Total 5</t>
  </si>
  <si>
    <t>ÁREA  EXTERNA</t>
  </si>
  <si>
    <t>Sub-Total 6</t>
  </si>
  <si>
    <t>Sub-Total 7</t>
  </si>
  <si>
    <t>ESQUADRIA EXTERNA - FACE INTERNA/EXTERNA</t>
  </si>
  <si>
    <t>JORNADA DE TRABALHO NO MÊS (HORAS)</t>
  </si>
  <si>
    <t>Sub-Total 8</t>
  </si>
  <si>
    <t>TIPO DE ÁREA</t>
  </si>
  <si>
    <t>Área int. - áreas com espaços livres - saguão, hall e salão</t>
  </si>
  <si>
    <t>Total 1</t>
  </si>
  <si>
    <t>Área ext. - Varrição de passeios e arruamentos</t>
  </si>
  <si>
    <t>sub-total 6</t>
  </si>
  <si>
    <t>Total 2</t>
  </si>
  <si>
    <t>Esquadrias externas - Face interna</t>
  </si>
  <si>
    <t>sub-total 8</t>
  </si>
  <si>
    <t>Total 3</t>
  </si>
  <si>
    <t>VALOR ANUAL</t>
  </si>
  <si>
    <t>DESCRIÇÃO</t>
  </si>
  <si>
    <t>QUANTIDADE DE MESES</t>
  </si>
  <si>
    <t>VALOR POR MÊS</t>
  </si>
  <si>
    <t>QUANTIDADE FUNCIONARIOS</t>
  </si>
  <si>
    <t>VALOR POR FUNCIONARIO</t>
  </si>
  <si>
    <t>TOTAL MATERIAL/EQUIPAMENTOS POR FUNCIONARIO, CONFORME CAMPO PRÓPRIO DA PLANILHA</t>
  </si>
  <si>
    <t>UNIFORME SERVENTE</t>
  </si>
  <si>
    <t>UNIFORME ENCARREGADO</t>
  </si>
  <si>
    <t>Pisos acarpetados</t>
  </si>
  <si>
    <t>CÁLCULO COM PRODUTIVIDADE - SERVIÇO DE HIGIENE, LIMPEZA E CONSERVAÇÃO</t>
  </si>
  <si>
    <t>15/07/2021 A 15/07/2022</t>
  </si>
  <si>
    <t>PREÇO MENSAL UNITÁRIO POR M²</t>
  </si>
  <si>
    <t>Encargos Previdenciários (GPS), Fundo de Garantia por Tempo de Serviço (FGTS) e outras contribuições</t>
  </si>
  <si>
    <t xml:space="preserve"> 1/(19x1500)</t>
  </si>
  <si>
    <t>1/1500</t>
  </si>
  <si>
    <t>Áreas Internas</t>
  </si>
  <si>
    <t>Áreas Externas</t>
  </si>
  <si>
    <t>QUANT MÃO DE OBRA</t>
  </si>
  <si>
    <t>METRAGEM QUADRADA</t>
  </si>
  <si>
    <t>SOMA</t>
  </si>
  <si>
    <r>
      <t>800 m</t>
    </r>
    <r>
      <rPr>
        <vertAlign val="superscript"/>
        <sz val="11"/>
        <color rgb="FF000000"/>
        <rFont val="Calibri"/>
        <family val="2"/>
        <scheme val="minor"/>
      </rPr>
      <t>2</t>
    </r>
  </si>
  <si>
    <r>
      <t>1.200 m</t>
    </r>
    <r>
      <rPr>
        <vertAlign val="superscript"/>
        <sz val="11"/>
        <color rgb="FF000000"/>
        <rFont val="Calibri"/>
        <family val="2"/>
        <scheme val="minor"/>
      </rPr>
      <t>2</t>
    </r>
  </si>
  <si>
    <r>
      <t>360 m</t>
    </r>
    <r>
      <rPr>
        <vertAlign val="superscript"/>
        <sz val="11"/>
        <color rgb="FF000000"/>
        <rFont val="Calibri"/>
        <family val="2"/>
        <scheme val="minor"/>
      </rPr>
      <t>2</t>
    </r>
  </si>
  <si>
    <r>
      <t>2.500 m</t>
    </r>
    <r>
      <rPr>
        <vertAlign val="superscript"/>
        <sz val="11"/>
        <color rgb="FF000000"/>
        <rFont val="Calibri"/>
        <family val="2"/>
        <scheme val="minor"/>
      </rPr>
      <t>2</t>
    </r>
  </si>
  <si>
    <r>
      <t>1.500 m</t>
    </r>
    <r>
      <rPr>
        <vertAlign val="superscript"/>
        <sz val="11"/>
        <color rgb="FF000000"/>
        <rFont val="Calibri"/>
        <family val="2"/>
        <scheme val="minor"/>
      </rPr>
      <t>2</t>
    </r>
  </si>
  <si>
    <r>
      <t>300 m</t>
    </r>
    <r>
      <rPr>
        <vertAlign val="superscript"/>
        <sz val="11"/>
        <color rgb="FF000000"/>
        <rFont val="Calibri"/>
        <family val="2"/>
        <scheme val="minor"/>
      </rPr>
      <t>2</t>
    </r>
  </si>
  <si>
    <t>Pisos frios</t>
  </si>
  <si>
    <t>Laboratórios</t>
  </si>
  <si>
    <t>Almoxarifados/galpões</t>
  </si>
  <si>
    <t>Oficinas</t>
  </si>
  <si>
    <t>Áreas com espaços livres - saguão, hall e salão</t>
  </si>
  <si>
    <t>Banheiros</t>
  </si>
  <si>
    <t>Pisos pavimentados adjacentes/con􀆡guos às edificações</t>
  </si>
  <si>
    <r>
      <t>9.000 m</t>
    </r>
    <r>
      <rPr>
        <vertAlign val="superscript"/>
        <sz val="11"/>
        <color rgb="FF000000"/>
        <rFont val="Calibri"/>
        <family val="2"/>
        <scheme val="minor"/>
      </rPr>
      <t>2</t>
    </r>
  </si>
  <si>
    <t>Varrição de passeios e arruamentos</t>
  </si>
  <si>
    <r>
      <t>2.700 m</t>
    </r>
    <r>
      <rPr>
        <vertAlign val="superscript"/>
        <sz val="11"/>
        <color rgb="FF000000"/>
        <rFont val="Calibri"/>
        <family val="2"/>
        <scheme val="minor"/>
      </rPr>
      <t>2</t>
    </r>
  </si>
  <si>
    <t>Pátios e áreas verdes com alta frequência</t>
  </si>
  <si>
    <t>Pátios e áreas verdes com média frequência</t>
  </si>
  <si>
    <t>Pátios e áreas verdes com baixa frequência</t>
  </si>
  <si>
    <t>coleta de detritos em pátios e áreas verdes com frequência diária</t>
  </si>
  <si>
    <r>
      <t>100.000 m</t>
    </r>
    <r>
      <rPr>
        <vertAlign val="superscript"/>
        <sz val="11"/>
        <color rgb="FF000000"/>
        <rFont val="Calibri"/>
        <family val="2"/>
        <scheme val="minor"/>
      </rPr>
      <t>2</t>
    </r>
  </si>
  <si>
    <t>Esquadrias Externas</t>
  </si>
  <si>
    <r>
      <t>160 m</t>
    </r>
    <r>
      <rPr>
        <vertAlign val="superscript"/>
        <sz val="11"/>
        <color rgb="FF000000"/>
        <rFont val="Calibri"/>
        <family val="2"/>
        <scheme val="minor"/>
      </rPr>
      <t>2</t>
    </r>
  </si>
  <si>
    <t>face externa com exposição a situação de risco</t>
  </si>
  <si>
    <t>face externa sem exposição a situação de risco</t>
  </si>
  <si>
    <t>face interna</t>
  </si>
  <si>
    <t>Fachadas Envidraçadas</t>
  </si>
  <si>
    <t>Áreas Hospitalares e assemelhadas</t>
  </si>
  <si>
    <r>
      <t>380 m</t>
    </r>
    <r>
      <rPr>
        <vertAlign val="superscript"/>
        <sz val="11"/>
        <color rgb="FF000000"/>
        <rFont val="Calibri"/>
        <family val="2"/>
        <scheme val="minor"/>
      </rPr>
      <t>2</t>
    </r>
  </si>
  <si>
    <r>
      <t>450 m</t>
    </r>
    <r>
      <rPr>
        <vertAlign val="superscript"/>
        <sz val="11"/>
        <color rgb="FF000000"/>
        <rFont val="Calibri"/>
        <family val="2"/>
        <scheme val="minor"/>
      </rPr>
      <t>2</t>
    </r>
  </si>
  <si>
    <t>PRODUTIVIDADE MENSAL MÍNIMA</t>
  </si>
  <si>
    <t>2.000 m2</t>
  </si>
  <si>
    <t>1/2500</t>
  </si>
  <si>
    <t xml:space="preserve"> 1/(19x9000)</t>
  </si>
  <si>
    <t>1/9000</t>
  </si>
  <si>
    <t>1/2700</t>
  </si>
  <si>
    <t xml:space="preserve"> 1/(19x300)</t>
  </si>
  <si>
    <t>1/300</t>
  </si>
  <si>
    <t>PRODUTIVIDADE (1/M²)</t>
  </si>
  <si>
    <t>1/(19x1200)</t>
  </si>
  <si>
    <t>1/(19x2500)</t>
  </si>
  <si>
    <t>PREÇO MENSAL UNITÁRIO (R$/M²) (A)</t>
  </si>
  <si>
    <t>ÁREA (M²) (B)</t>
  </si>
  <si>
    <t>SUB-TOTAL (R$) (AXB)</t>
  </si>
  <si>
    <t>PREÇO MENSAL UNITÁRIO (R$/M²) ( A)</t>
  </si>
  <si>
    <t>VALOR DOS SERVIÇOS</t>
  </si>
  <si>
    <t>SUPERINTENDÊNCIA DO DESENVOLVIMENTO DA AMAZÔNIA
DIRETORIA DE ADMINISTRAÇÃO
COORDENAÇÃO GERAL DE PESSOAL, ADMINISTRAÇÃO E FINANÇAS
COORDENAÇÃO DE GESTÃO ADMINISTRATIVA</t>
  </si>
  <si>
    <t>INSUMOS LIMPEZA MENSAL</t>
  </si>
  <si>
    <t>FREQUÊNCIA NO MÊS (HORAS)</t>
  </si>
  <si>
    <t>(1x2x3)</t>
  </si>
  <si>
    <t>PREÇO HOMEM-MÊS (R$)</t>
  </si>
  <si>
    <t>(4x5) subtotal (R$/m²)</t>
  </si>
  <si>
    <t>ENCARREGADO / Pisos Frios</t>
  </si>
  <si>
    <t>ENCARREGADO / Pisos pavimentados adjacentes/contíguos às edificações</t>
  </si>
  <si>
    <t>ENCARREGADO / Varrição de passeios e arruamentos</t>
  </si>
  <si>
    <t>ENCARREGADO / Face interna</t>
  </si>
  <si>
    <t>SERVENTE / Pisos Frios</t>
  </si>
  <si>
    <t>SERVENTE / Pisos pavimentados adjacentes/contíguos às edificações</t>
  </si>
  <si>
    <t>SERVENTE / Varrição de passeios e arruamentos</t>
  </si>
  <si>
    <t>SERVENTE / Face interna</t>
  </si>
  <si>
    <t>PRODUTIVIDADE
(1/M²)</t>
  </si>
  <si>
    <t>PREÇO - HOMEM - MÊS
(R$)</t>
  </si>
  <si>
    <t>PRODUTIVIDADE 
(1/M²)</t>
  </si>
  <si>
    <t>ENCARREGADO / Almoxarifados/ Galpões</t>
  </si>
  <si>
    <t>SERVENTE / Almoxarifados / Galpões</t>
  </si>
  <si>
    <t>Área int. - Almoxarifado / Galpões</t>
  </si>
  <si>
    <t>ENCARREGADO / Áreas com espaços livres - saguão, hall e salão</t>
  </si>
  <si>
    <t>SERVENTE / Áreas com espaços livres - saguão, hall e salão</t>
  </si>
  <si>
    <t>ENCARREGADO / Pátios e áreas verdes com média frequência</t>
  </si>
  <si>
    <t>SERVENTE / Pátios e áreas verdes com média frequência</t>
  </si>
  <si>
    <t>ENCARREGADO / Coleta de detritos em pátios e áreas verdes com frequência diária</t>
  </si>
  <si>
    <t>SERVENTE / Coleta de detritos em pátios e áreas verdes com frequência diária</t>
  </si>
  <si>
    <t xml:space="preserve"> 1/(19x2000)</t>
  </si>
  <si>
    <t>1/2000</t>
  </si>
  <si>
    <t>1/100000</t>
  </si>
  <si>
    <t xml:space="preserve"> 1/(19x2700)</t>
  </si>
  <si>
    <t xml:space="preserve"> 1/(19x100000)</t>
  </si>
  <si>
    <t>1/(19x380) = 0,000138504</t>
  </si>
  <si>
    <t>1/191,4 = 0,005224</t>
  </si>
  <si>
    <t>1/380 = 0,002631579</t>
  </si>
  <si>
    <t>Sub-Total 3</t>
  </si>
  <si>
    <t>Sub-Total 1</t>
  </si>
  <si>
    <t>Sub-Total 2</t>
  </si>
  <si>
    <t>sub-total 3</t>
  </si>
  <si>
    <t>sub-total 4</t>
  </si>
  <si>
    <t>sub-total 5</t>
  </si>
  <si>
    <t>ENCARREGADO / Banheiros</t>
  </si>
  <si>
    <t>SERVENTE / Banheiros</t>
  </si>
  <si>
    <t>Área int.- Banheiros</t>
  </si>
  <si>
    <t>Área int. - Pisos frios</t>
  </si>
  <si>
    <t>sub-total 1</t>
  </si>
  <si>
    <t>sub-total 2</t>
  </si>
  <si>
    <t>Sub-Total 9</t>
  </si>
  <si>
    <t>Área ext. - Pisos pavimentados adjacentes/contíguos às edificações</t>
  </si>
  <si>
    <t>sub-total 7</t>
  </si>
  <si>
    <t>Área ext. - Coleta de detritos em pátios e áreas verdes com frequência diária</t>
  </si>
  <si>
    <t>Área ext. - Pátios e áreas verdes com média frequência</t>
  </si>
  <si>
    <t>EQUIPAMENTOS LIMPEZA MENSAL</t>
  </si>
  <si>
    <t>VALOR MENSAL LIMPEZA</t>
  </si>
  <si>
    <t>VALOR TOTAL DA CONTRATAÇÃO</t>
  </si>
  <si>
    <t>VALOR MENSAL JARDINAGEM (2 DIÁRIAS)</t>
  </si>
  <si>
    <t>SALÁRIO</t>
  </si>
  <si>
    <t>DIÁRIA</t>
  </si>
  <si>
    <t>2 DIÁRIAS</t>
  </si>
  <si>
    <r>
      <t xml:space="preserve">Transporte </t>
    </r>
    <r>
      <rPr>
        <sz val="12"/>
        <color rgb="FFFF0000"/>
        <rFont val="Times New Roman"/>
        <family val="1"/>
      </rPr>
      <t>(Cálculo para 4 vales-transporte)</t>
    </r>
  </si>
  <si>
    <r>
      <t xml:space="preserve">Auxílio-Refeição/Alimentação </t>
    </r>
    <r>
      <rPr>
        <sz val="12"/>
        <color rgb="FFFF0000"/>
        <rFont val="Times New Roman"/>
        <family val="1"/>
      </rPr>
      <t>(Cálculo para 2 vale-alimentação)</t>
    </r>
  </si>
  <si>
    <r>
      <t xml:space="preserve">Aviso Prévio Indenizado </t>
    </r>
    <r>
      <rPr>
        <sz val="12"/>
        <color rgb="FFFF0000"/>
        <rFont val="Times New Roman"/>
        <family val="1"/>
      </rPr>
      <t>(Cálculo para 2 diárias)</t>
    </r>
  </si>
  <si>
    <r>
      <t xml:space="preserve">Aviso Prévio Trabalhado </t>
    </r>
    <r>
      <rPr>
        <sz val="12"/>
        <color rgb="FFFF0000"/>
        <rFont val="Times New Roman"/>
        <family val="1"/>
      </rPr>
      <t>(Cálculo para 2 diárias)</t>
    </r>
  </si>
  <si>
    <r>
      <t xml:space="preserve">Férias </t>
    </r>
    <r>
      <rPr>
        <sz val="12"/>
        <color rgb="FFFF0000"/>
        <rFont val="Times New Roman"/>
        <family val="1"/>
      </rPr>
      <t>(Cálculo para 2 diárias)</t>
    </r>
  </si>
  <si>
    <r>
      <t xml:space="preserve">Ausências Legais </t>
    </r>
    <r>
      <rPr>
        <sz val="12"/>
        <color rgb="FFFF0000"/>
        <rFont val="Times New Roman"/>
        <family val="1"/>
      </rPr>
      <t>(Cálculo para 2 diárias)</t>
    </r>
  </si>
  <si>
    <r>
      <t xml:space="preserve">Licença-Paternidade </t>
    </r>
    <r>
      <rPr>
        <sz val="12"/>
        <color rgb="FFFF0000"/>
        <rFont val="Times New Roman"/>
        <family val="1"/>
      </rPr>
      <t>(Cálculo para 2 diárias)</t>
    </r>
  </si>
  <si>
    <r>
      <t xml:space="preserve">Ausência por acidente de trabalho </t>
    </r>
    <r>
      <rPr>
        <sz val="12"/>
        <color rgb="FFFF0000"/>
        <rFont val="Times New Roman"/>
        <family val="1"/>
      </rPr>
      <t>(Cálculo para 2 diárias)</t>
    </r>
  </si>
  <si>
    <r>
      <t xml:space="preserve">Afastamento Maternidade </t>
    </r>
    <r>
      <rPr>
        <sz val="12"/>
        <color rgb="FFFF0000"/>
        <rFont val="Times New Roman"/>
        <family val="1"/>
      </rPr>
      <t>(Cálculo para 2 diárias)</t>
    </r>
  </si>
  <si>
    <r>
      <t xml:space="preserve">Custos Indiretos </t>
    </r>
    <r>
      <rPr>
        <sz val="12"/>
        <color rgb="FFFF0000"/>
        <rFont val="Times New Roman"/>
        <family val="1"/>
      </rPr>
      <t>(Cálculo para 2 diárias)</t>
    </r>
  </si>
  <si>
    <r>
      <t xml:space="preserve">Lucro </t>
    </r>
    <r>
      <rPr>
        <sz val="12"/>
        <color rgb="FFFF0000"/>
        <rFont val="Times New Roman"/>
        <family val="1"/>
      </rPr>
      <t>(Cálculo para 2 diárias)</t>
    </r>
  </si>
  <si>
    <r>
      <t xml:space="preserve">Salário-Base </t>
    </r>
    <r>
      <rPr>
        <sz val="12"/>
        <color rgb="FFFF0000"/>
        <rFont val="Times New Roman"/>
        <family val="1"/>
      </rPr>
      <t>(Cálculo para 2 diárias)</t>
    </r>
  </si>
  <si>
    <r>
      <t xml:space="preserve">Uniformes </t>
    </r>
    <r>
      <rPr>
        <sz val="12"/>
        <color rgb="FFFF0000"/>
        <rFont val="Times New Roman"/>
        <family val="1"/>
      </rPr>
      <t>(Custo mensal)</t>
    </r>
  </si>
  <si>
    <r>
      <t xml:space="preserve">Materiais </t>
    </r>
    <r>
      <rPr>
        <sz val="12"/>
        <color rgb="FFFF0000"/>
        <rFont val="Times New Roman"/>
        <family val="1"/>
      </rPr>
      <t>(Custo mensal)</t>
    </r>
  </si>
  <si>
    <r>
      <t xml:space="preserve">Equipamentos </t>
    </r>
    <r>
      <rPr>
        <sz val="12"/>
        <color rgb="FFFF0000"/>
        <rFont val="Times New Roman"/>
        <family val="1"/>
      </rPr>
      <t>(Custo mensal)</t>
    </r>
  </si>
  <si>
    <r>
      <t xml:space="preserve">Outros (especificar) - SEGURO DE VIDA </t>
    </r>
    <r>
      <rPr>
        <sz val="12"/>
        <color rgb="FFFF0000"/>
        <rFont val="Times New Roman"/>
        <family val="1"/>
      </rPr>
      <t>(Cálculo mensal)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</si>
</sst>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R$&quot;\ #,##0.00;[Red]\-&quot;R$&quot;\ #,##0.00"/>
    <numFmt numFmtId="43" formatCode="_-* #,##0.00_-;\-* #,##0.00_-;_-* &quot;-&quot;??_-;_-@_-"/>
    <numFmt numFmtId="164" formatCode="#,##0.00;[Red]#,##0.00"/>
    <numFmt numFmtId="165" formatCode="0.0000"/>
    <numFmt numFmtId="166" formatCode="#,##0.0000_ ;\-#,##0.0000\ "/>
    <numFmt numFmtId="167" formatCode="_(* #,##0.00_);_(* \(#,##0.00\);_(* \-??_);_(@_)"/>
    <numFmt numFmtId="168" formatCode="_-&quot;R$ &quot;* #,##0.00_-;&quot;-R$ &quot;* #,##0.00_-;_-&quot;R$ &quot;* \-??_-;_-@_-"/>
    <numFmt numFmtId="169" formatCode="&quot;R$ &quot;#,##0.00"/>
    <numFmt numFmtId="170" formatCode="_(&quot;R$ &quot;* #,##0.00_);_(&quot;R$ &quot;* \(#,##0.00\);_(&quot;R$ &quot;* &quot;-&quot;??_);_(@_)"/>
    <numFmt numFmtId="171" formatCode="_(* #,##0.00_);_(* \(#,##0.00\);_(* &quot;-&quot;??_);_(@_)"/>
    <numFmt numFmtId="172" formatCode="&quot;R$&quot;\ #,##0.00"/>
    <numFmt numFmtId="173" formatCode="_([$R$ -416]* #,##0.00_);_([$R$ -416]* \(#,##0.00\);_([$R$ -416]* &quot;-&quot;??_);_(@_)"/>
    <numFmt numFmtId="174" formatCode="0.00000000"/>
  </numFmts>
  <fonts count="52"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name val="Calibri"/>
      <family val="2"/>
      <scheme val="minor"/>
    </font>
    <font>
      <sz val="10"/>
      <name val="Calibri"/>
      <family val="2"/>
      <scheme val="minor"/>
    </font>
    <font>
      <sz val="11"/>
      <color indexed="8"/>
      <name val="Calibri"/>
      <family val="2"/>
    </font>
    <font>
      <b/>
      <sz val="11"/>
      <color indexed="8"/>
      <name val="Calibri"/>
      <family val="2"/>
    </font>
    <font>
      <sz val="11"/>
      <color theme="1"/>
      <name val="Arial Narrow"/>
      <family val="2"/>
    </font>
    <font>
      <b/>
      <sz val="11"/>
      <color rgb="FF000000"/>
      <name val="Calibri"/>
      <family val="2"/>
      <scheme val="minor"/>
    </font>
    <font>
      <sz val="11"/>
      <color rgb="FF000000"/>
      <name val="Calibri"/>
      <family val="2"/>
      <scheme val="minor"/>
    </font>
    <font>
      <b/>
      <u/>
      <sz val="10"/>
      <color indexed="8"/>
      <name val="Arial"/>
      <family val="2"/>
    </font>
    <font>
      <b/>
      <sz val="10"/>
      <color indexed="8"/>
      <name val="Arial"/>
      <family val="2"/>
    </font>
    <font>
      <b/>
      <sz val="10"/>
      <color rgb="FF000000"/>
      <name val="Arial"/>
      <family val="2"/>
    </font>
    <font>
      <b/>
      <sz val="10"/>
      <color theme="1"/>
      <name val="Arial"/>
      <family val="2"/>
    </font>
    <font>
      <sz val="10"/>
      <color theme="1"/>
      <name val="Arial"/>
      <family val="2"/>
    </font>
    <font>
      <sz val="10"/>
      <color rgb="FF000000"/>
      <name val="Arial"/>
      <family val="2"/>
    </font>
    <font>
      <u/>
      <sz val="10"/>
      <color theme="1"/>
      <name val="Arial"/>
      <family val="2"/>
    </font>
    <font>
      <vertAlign val="superscript"/>
      <sz val="11"/>
      <color rgb="FF000000"/>
      <name val="Calibri"/>
      <family val="2"/>
      <scheme val="minor"/>
    </font>
    <font>
      <sz val="8"/>
      <name val="Calibri"/>
      <family val="2"/>
      <scheme val="minor"/>
    </font>
    <font>
      <sz val="10"/>
      <color rgb="FFFF0000"/>
      <name val="Arial"/>
      <family val="2"/>
    </font>
    <font>
      <b/>
      <sz val="12"/>
      <color rgb="FFFF0000"/>
      <name val="Arial"/>
      <family val="2"/>
    </font>
    <font>
      <sz val="12"/>
      <color rgb="FFFF0000"/>
      <name val="Arial"/>
      <family val="2"/>
    </font>
    <font>
      <sz val="12"/>
      <color rgb="FFFF0000"/>
      <name val="Calibri"/>
      <family val="2"/>
      <scheme val="minor"/>
    </font>
  </fonts>
  <fills count="46">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59">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34" fillId="0" borderId="0" applyFill="0" applyBorder="0" applyAlignment="0" applyProtection="0"/>
    <xf numFmtId="0" fontId="34" fillId="0" borderId="0"/>
    <xf numFmtId="168" fontId="34" fillId="0" borderId="0" applyFill="0" applyBorder="0" applyAlignment="0" applyProtection="0"/>
    <xf numFmtId="167" fontId="34" fillId="0" borderId="0" applyFill="0" applyBorder="0" applyAlignment="0" applyProtection="0"/>
    <xf numFmtId="170" fontId="1" fillId="0" borderId="0" applyFont="0" applyFill="0" applyBorder="0" applyAlignment="0" applyProtection="0"/>
    <xf numFmtId="171" fontId="1" fillId="0" borderId="0" applyFont="0" applyFill="0" applyBorder="0" applyAlignment="0" applyProtection="0"/>
  </cellStyleXfs>
  <cellXfs count="473">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52" xfId="0" applyFont="1" applyBorder="1" applyAlignment="1">
      <alignment horizontal="justify" vertical="center" wrapText="1"/>
    </xf>
    <xf numFmtId="0" fontId="2" fillId="0" borderId="29" xfId="0" applyFont="1" applyBorder="1" applyAlignment="1">
      <alignment vertical="center" wrapText="1"/>
    </xf>
    <xf numFmtId="0" fontId="3" fillId="0" borderId="0" xfId="0" applyFont="1"/>
    <xf numFmtId="0" fontId="2" fillId="0" borderId="33" xfId="0" applyFont="1" applyBorder="1" applyAlignment="1">
      <alignment horizontal="center" vertical="center" wrapText="1"/>
    </xf>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2" fillId="0" borderId="29" xfId="0" applyFont="1" applyBorder="1" applyAlignment="1">
      <alignment horizontal="center" vertical="center" wrapText="1"/>
    </xf>
    <xf numFmtId="0" fontId="24" fillId="0" borderId="0" xfId="0" applyFont="1" applyAlignment="1">
      <alignment horizontal="center"/>
    </xf>
    <xf numFmtId="0" fontId="32" fillId="0" borderId="1" xfId="48" applyFont="1" applyFill="1" applyBorder="1" applyAlignment="1">
      <alignment horizontal="center" vertical="center" wrapText="1"/>
    </xf>
    <xf numFmtId="0" fontId="32" fillId="0" borderId="0" xfId="48" applyFont="1" applyFill="1" applyBorder="1" applyAlignment="1">
      <alignment vertical="center" wrapText="1"/>
    </xf>
    <xf numFmtId="0" fontId="33" fillId="0" borderId="0" xfId="48" applyFont="1" applyFill="1" applyBorder="1" applyAlignment="1">
      <alignment vertical="center"/>
    </xf>
    <xf numFmtId="0" fontId="3" fillId="0" borderId="0" xfId="0" applyFont="1" applyBorder="1"/>
    <xf numFmtId="14" fontId="32" fillId="0" borderId="0" xfId="48" applyNumberFormat="1" applyFont="1" applyFill="1" applyBorder="1" applyAlignment="1">
      <alignment vertical="center"/>
    </xf>
    <xf numFmtId="0" fontId="33" fillId="0" borderId="0" xfId="48" applyFont="1" applyFill="1" applyBorder="1" applyAlignment="1">
      <alignment vertical="center" wrapText="1"/>
    </xf>
    <xf numFmtId="0" fontId="32" fillId="0" borderId="0" xfId="48" applyFont="1" applyFill="1" applyBorder="1" applyAlignment="1">
      <alignment vertical="center"/>
    </xf>
    <xf numFmtId="0" fontId="3" fillId="0" borderId="0" xfId="0" applyFont="1" applyFill="1" applyBorder="1"/>
    <xf numFmtId="0" fontId="32" fillId="0" borderId="1" xfId="48" applyFont="1" applyFill="1" applyBorder="1" applyAlignment="1">
      <alignment vertical="center" wrapText="1"/>
    </xf>
    <xf numFmtId="2" fontId="3" fillId="0" borderId="52" xfId="0" applyNumberFormat="1" applyFont="1" applyBorder="1" applyAlignment="1">
      <alignment horizontal="center" vertical="center" wrapText="1"/>
    </xf>
    <xf numFmtId="4" fontId="3" fillId="0" borderId="52"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3" fillId="0" borderId="0" xfId="53" applyNumberFormat="1" applyFont="1" applyFill="1" applyBorder="1" applyAlignment="1" applyProtection="1">
      <alignment horizontal="center" vertical="center"/>
    </xf>
    <xf numFmtId="4" fontId="2" fillId="0" borderId="52" xfId="0" applyNumberFormat="1" applyFont="1" applyBorder="1" applyAlignment="1">
      <alignment horizontal="center" vertical="center" wrapText="1"/>
    </xf>
    <xf numFmtId="2" fontId="2" fillId="0" borderId="52" xfId="0" applyNumberFormat="1" applyFont="1" applyBorder="1" applyAlignment="1">
      <alignment horizontal="center" vertical="center" wrapText="1"/>
    </xf>
    <xf numFmtId="0" fontId="3" fillId="43" borderId="52" xfId="0" applyFont="1" applyFill="1" applyBorder="1" applyAlignment="1">
      <alignment horizontal="center" vertical="center" wrapText="1"/>
    </xf>
    <xf numFmtId="10" fontId="2" fillId="0" borderId="52" xfId="1" applyNumberFormat="1" applyFont="1" applyBorder="1" applyAlignment="1">
      <alignment horizontal="center" vertical="center" wrapText="1"/>
    </xf>
    <xf numFmtId="0" fontId="34" fillId="0" borderId="0" xfId="54"/>
    <xf numFmtId="168" fontId="34" fillId="0" borderId="1" xfId="55" applyBorder="1" applyAlignment="1">
      <alignment horizontal="center" vertical="center"/>
    </xf>
    <xf numFmtId="0" fontId="34" fillId="0" borderId="35" xfId="54" applyBorder="1" applyAlignment="1">
      <alignment vertical="center"/>
    </xf>
    <xf numFmtId="9" fontId="3" fillId="0" borderId="52" xfId="0" applyNumberFormat="1" applyFont="1" applyBorder="1" applyAlignment="1">
      <alignment horizontal="center" vertical="center" wrapText="1"/>
    </xf>
    <xf numFmtId="10" fontId="3" fillId="0" borderId="52" xfId="1" applyNumberFormat="1" applyFont="1" applyBorder="1" applyAlignment="1">
      <alignment horizontal="center" vertical="center" wrapText="1"/>
    </xf>
    <xf numFmtId="0" fontId="3" fillId="0" borderId="52" xfId="0" applyFont="1" applyFill="1" applyBorder="1" applyAlignment="1">
      <alignment horizontal="center" vertical="center" wrapText="1"/>
    </xf>
    <xf numFmtId="2" fontId="3" fillId="43" borderId="52" xfId="0" applyNumberFormat="1" applyFont="1" applyFill="1" applyBorder="1" applyAlignment="1">
      <alignment horizontal="center" vertical="center" wrapText="1"/>
    </xf>
    <xf numFmtId="2" fontId="3" fillId="0" borderId="52" xfId="0" applyNumberFormat="1" applyFont="1" applyFill="1" applyBorder="1" applyAlignment="1">
      <alignment horizontal="center" vertical="center" wrapText="1"/>
    </xf>
    <xf numFmtId="0" fontId="2" fillId="0" borderId="52" xfId="0" applyFont="1" applyBorder="1" applyAlignment="1">
      <alignment horizontal="center" vertical="center" wrapText="1"/>
    </xf>
    <xf numFmtId="0" fontId="0" fillId="0" borderId="0" xfId="0" applyBorder="1"/>
    <xf numFmtId="0" fontId="36" fillId="0" borderId="0" xfId="0" applyFont="1"/>
    <xf numFmtId="0" fontId="21" fillId="0" borderId="0" xfId="0" applyFont="1" applyAlignment="1">
      <alignment horizontal="center"/>
    </xf>
    <xf numFmtId="1" fontId="21" fillId="0" borderId="1" xfId="0" applyNumberFormat="1" applyFont="1" applyBorder="1" applyAlignment="1">
      <alignment horizontal="center"/>
    </xf>
    <xf numFmtId="168" fontId="35" fillId="44" borderId="1" xfId="54" applyNumberFormat="1" applyFont="1" applyFill="1" applyBorder="1" applyAlignment="1">
      <alignment horizontal="center" vertical="center"/>
    </xf>
    <xf numFmtId="0" fontId="35" fillId="44" borderId="1" xfId="54" applyFont="1" applyFill="1" applyBorder="1" applyAlignment="1">
      <alignment horizontal="center" vertical="center" wrapText="1"/>
    </xf>
    <xf numFmtId="0" fontId="35" fillId="44" borderId="35" xfId="54" applyFont="1" applyFill="1" applyBorder="1" applyAlignment="1">
      <alignment horizontal="center" vertical="center"/>
    </xf>
    <xf numFmtId="0" fontId="44" fillId="0" borderId="0" xfId="0" applyFont="1" applyFill="1" applyBorder="1" applyAlignment="1">
      <alignment horizontal="center" vertical="center" wrapText="1"/>
    </xf>
    <xf numFmtId="0" fontId="44" fillId="0" borderId="35" xfId="0" applyFont="1" applyFill="1" applyBorder="1" applyAlignment="1">
      <alignment horizontal="center" vertical="center" wrapText="1"/>
    </xf>
    <xf numFmtId="0" fontId="34" fillId="0" borderId="35" xfId="54" applyBorder="1" applyAlignment="1">
      <alignment horizontal="left" vertical="center" wrapText="1"/>
    </xf>
    <xf numFmtId="0" fontId="43" fillId="0" borderId="1" xfId="0" applyFont="1" applyFill="1" applyBorder="1" applyAlignment="1">
      <alignment horizontal="center" vertical="center" wrapText="1"/>
    </xf>
    <xf numFmtId="0" fontId="44" fillId="0" borderId="1" xfId="0" applyFont="1" applyFill="1" applyBorder="1" applyAlignment="1">
      <alignment horizontal="center" vertical="center" wrapText="1"/>
    </xf>
    <xf numFmtId="0" fontId="44" fillId="0" borderId="63" xfId="0" applyFont="1" applyFill="1" applyBorder="1" applyAlignment="1">
      <alignment horizontal="center" vertical="center" wrapText="1"/>
    </xf>
    <xf numFmtId="0" fontId="41" fillId="0" borderId="1" xfId="0" applyFont="1" applyFill="1" applyBorder="1" applyAlignment="1">
      <alignment horizontal="center" vertical="center" wrapText="1"/>
    </xf>
    <xf numFmtId="4" fontId="3" fillId="0" borderId="0" xfId="0" applyNumberFormat="1" applyFont="1"/>
    <xf numFmtId="0" fontId="0" fillId="0" borderId="0" xfId="0" applyAlignment="1">
      <alignment horizontal="left"/>
    </xf>
    <xf numFmtId="0" fontId="0" fillId="0" borderId="0" xfId="0" applyFont="1" applyAlignment="1">
      <alignment horizontal="center"/>
    </xf>
    <xf numFmtId="1" fontId="0" fillId="0" borderId="1" xfId="0" applyNumberFormat="1" applyFont="1" applyBorder="1" applyAlignment="1">
      <alignment horizontal="center"/>
    </xf>
    <xf numFmtId="1" fontId="21" fillId="44" borderId="1" xfId="0" applyNumberFormat="1" applyFont="1" applyFill="1" applyBorder="1" applyAlignment="1">
      <alignment horizontal="center"/>
    </xf>
    <xf numFmtId="0" fontId="21" fillId="45" borderId="1" xfId="0" applyFont="1" applyFill="1" applyBorder="1" applyAlignment="1">
      <alignment horizontal="center" vertical="center" wrapText="1"/>
    </xf>
    <xf numFmtId="0" fontId="37" fillId="0" borderId="1" xfId="0" applyFont="1" applyBorder="1" applyAlignment="1">
      <alignment horizontal="left" vertical="center" wrapText="1"/>
    </xf>
    <xf numFmtId="0" fontId="37" fillId="0" borderId="1" xfId="0" applyFont="1" applyBorder="1" applyAlignment="1">
      <alignment vertical="center" wrapText="1"/>
    </xf>
    <xf numFmtId="0" fontId="21" fillId="0" borderId="1" xfId="0" applyFont="1" applyBorder="1" applyAlignment="1">
      <alignment horizontal="center"/>
    </xf>
    <xf numFmtId="0" fontId="38" fillId="0" borderId="1" xfId="0" applyFont="1" applyBorder="1" applyAlignment="1">
      <alignment horizontal="left" vertical="center" wrapText="1"/>
    </xf>
    <xf numFmtId="0" fontId="38" fillId="0" borderId="1" xfId="0" applyFont="1" applyBorder="1" applyAlignment="1">
      <alignment horizontal="center" vertical="center" wrapText="1"/>
    </xf>
    <xf numFmtId="0" fontId="0" fillId="0" borderId="1" xfId="0" applyFont="1" applyBorder="1" applyAlignment="1">
      <alignment horizontal="center"/>
    </xf>
    <xf numFmtId="4" fontId="38" fillId="0" borderId="1" xfId="0" applyNumberFormat="1" applyFont="1" applyBorder="1" applyAlignment="1">
      <alignment horizontal="center" vertical="center" wrapText="1"/>
    </xf>
    <xf numFmtId="2" fontId="0" fillId="0" borderId="1" xfId="0" applyNumberFormat="1" applyFont="1" applyBorder="1" applyAlignment="1">
      <alignment horizontal="center"/>
    </xf>
    <xf numFmtId="0" fontId="21" fillId="44" borderId="1" xfId="0" applyFont="1" applyFill="1" applyBorder="1" applyAlignment="1">
      <alignment horizontal="center"/>
    </xf>
    <xf numFmtId="0" fontId="37" fillId="0" borderId="1" xfId="0" applyFont="1" applyBorder="1" applyAlignment="1">
      <alignment horizontal="center" vertical="center" wrapText="1"/>
    </xf>
    <xf numFmtId="0" fontId="0" fillId="0" borderId="0" xfId="0" applyAlignment="1">
      <alignment horizontal="center"/>
    </xf>
    <xf numFmtId="0" fontId="0" fillId="44" borderId="1" xfId="0" applyFont="1" applyFill="1" applyBorder="1" applyAlignment="1">
      <alignment horizontal="center"/>
    </xf>
    <xf numFmtId="2" fontId="21" fillId="44" borderId="1" xfId="0" applyNumberFormat="1" applyFont="1" applyFill="1" applyBorder="1" applyAlignment="1">
      <alignment horizontal="center"/>
    </xf>
    <xf numFmtId="0" fontId="0" fillId="44" borderId="1" xfId="0" applyFill="1" applyBorder="1" applyAlignment="1">
      <alignment horizontal="left"/>
    </xf>
    <xf numFmtId="0" fontId="41" fillId="0" borderId="0" xfId="0"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0" fillId="0" borderId="35" xfId="0" applyFont="1" applyFill="1" applyBorder="1" applyAlignment="1">
      <alignment horizontal="center" vertical="center" wrapText="1"/>
    </xf>
    <xf numFmtId="0" fontId="40" fillId="0" borderId="61" xfId="0" applyFont="1" applyFill="1" applyBorder="1" applyAlignment="1">
      <alignment horizontal="center" vertical="center" wrapText="1"/>
    </xf>
    <xf numFmtId="0" fontId="40" fillId="0" borderId="64" xfId="0" applyFont="1" applyFill="1" applyBorder="1" applyAlignment="1">
      <alignment horizontal="center" vertical="center" wrapText="1"/>
    </xf>
    <xf numFmtId="0" fontId="40" fillId="0" borderId="0" xfId="0" applyFont="1" applyFill="1" applyBorder="1" applyAlignment="1">
      <alignment horizontal="center" vertical="center" wrapText="1"/>
    </xf>
    <xf numFmtId="169" fontId="42" fillId="0" borderId="1" xfId="0" applyNumberFormat="1" applyFont="1" applyFill="1" applyBorder="1" applyAlignment="1">
      <alignment horizontal="center" vertical="center" wrapText="1"/>
    </xf>
    <xf numFmtId="0" fontId="43" fillId="0" borderId="0" xfId="0" applyFont="1" applyFill="1" applyBorder="1" applyAlignment="1">
      <alignment horizontal="center" vertical="center" wrapText="1"/>
    </xf>
    <xf numFmtId="0" fontId="43" fillId="0" borderId="0" xfId="0" applyFont="1" applyFill="1" applyAlignment="1">
      <alignment horizontal="center" vertical="center" wrapText="1"/>
    </xf>
    <xf numFmtId="0" fontId="42" fillId="0" borderId="0" xfId="0" applyFont="1" applyFill="1" applyAlignment="1">
      <alignment horizontal="center" vertical="center" wrapText="1"/>
    </xf>
    <xf numFmtId="169" fontId="43" fillId="0" borderId="1" xfId="0" applyNumberFormat="1" applyFont="1" applyFill="1" applyBorder="1" applyAlignment="1">
      <alignment horizontal="center" vertical="center" wrapText="1"/>
    </xf>
    <xf numFmtId="169" fontId="43" fillId="0" borderId="0" xfId="0" applyNumberFormat="1" applyFont="1" applyFill="1" applyBorder="1" applyAlignment="1">
      <alignment horizontal="center" vertical="center" wrapText="1"/>
    </xf>
    <xf numFmtId="49" fontId="43" fillId="0" borderId="1" xfId="0" applyNumberFormat="1" applyFont="1" applyFill="1" applyBorder="1" applyAlignment="1">
      <alignment horizontal="center" vertical="center" wrapText="1"/>
    </xf>
    <xf numFmtId="169" fontId="43" fillId="0" borderId="1" xfId="57" applyNumberFormat="1" applyFont="1" applyFill="1" applyBorder="1" applyAlignment="1">
      <alignment horizontal="center" vertical="center" wrapText="1"/>
    </xf>
    <xf numFmtId="169" fontId="43" fillId="0" borderId="0" xfId="57" applyNumberFormat="1" applyFont="1" applyFill="1" applyBorder="1" applyAlignment="1">
      <alignment horizontal="center" vertical="center" wrapText="1"/>
    </xf>
    <xf numFmtId="169" fontId="42" fillId="0" borderId="0" xfId="0" applyNumberFormat="1" applyFont="1" applyFill="1" applyBorder="1" applyAlignment="1">
      <alignment horizontal="center" vertical="center" wrapText="1"/>
    </xf>
    <xf numFmtId="169" fontId="48" fillId="0" borderId="1" xfId="0" applyNumberFormat="1" applyFont="1" applyFill="1" applyBorder="1" applyAlignment="1">
      <alignment horizontal="center" vertical="center" wrapText="1"/>
    </xf>
    <xf numFmtId="170" fontId="42" fillId="0" borderId="0" xfId="0" applyNumberFormat="1" applyFont="1" applyFill="1" applyBorder="1" applyAlignment="1">
      <alignment horizontal="center" vertical="center" wrapText="1"/>
    </xf>
    <xf numFmtId="49" fontId="43" fillId="0" borderId="1" xfId="58" applyNumberFormat="1" applyFont="1" applyFill="1" applyBorder="1" applyAlignment="1">
      <alignment horizontal="center" vertical="center" wrapText="1"/>
    </xf>
    <xf numFmtId="171" fontId="43" fillId="0" borderId="0" xfId="58" applyFont="1" applyFill="1" applyBorder="1" applyAlignment="1">
      <alignment horizontal="center" vertical="center" wrapText="1"/>
    </xf>
    <xf numFmtId="0" fontId="41" fillId="0" borderId="0" xfId="0" applyFont="1" applyFill="1" applyAlignment="1">
      <alignment horizontal="center" vertical="center" wrapText="1"/>
    </xf>
    <xf numFmtId="169" fontId="42" fillId="0" borderId="1" xfId="57" applyNumberFormat="1" applyFont="1" applyFill="1" applyBorder="1" applyAlignment="1">
      <alignment horizontal="center" vertical="center" wrapText="1"/>
    </xf>
    <xf numFmtId="169" fontId="42" fillId="0" borderId="0" xfId="57" applyNumberFormat="1" applyFont="1" applyFill="1" applyBorder="1" applyAlignment="1">
      <alignment horizontal="center" vertical="center" wrapText="1"/>
    </xf>
    <xf numFmtId="2" fontId="44" fillId="0" borderId="1" xfId="57" applyNumberFormat="1" applyFont="1" applyFill="1" applyBorder="1" applyAlignment="1">
      <alignment horizontal="center" vertical="center" wrapText="1"/>
    </xf>
    <xf numFmtId="169" fontId="42" fillId="0" borderId="0" xfId="57" applyNumberFormat="1" applyFont="1" applyFill="1" applyAlignment="1">
      <alignment horizontal="center" vertical="center" wrapText="1"/>
    </xf>
    <xf numFmtId="169" fontId="43" fillId="0" borderId="0" xfId="0" applyNumberFormat="1" applyFont="1" applyFill="1" applyAlignment="1">
      <alignment horizontal="center" vertical="center" wrapText="1"/>
    </xf>
    <xf numFmtId="169" fontId="43" fillId="0" borderId="62" xfId="0" applyNumberFormat="1" applyFont="1" applyFill="1" applyBorder="1" applyAlignment="1">
      <alignment horizontal="center" vertical="center" wrapText="1"/>
    </xf>
    <xf numFmtId="171" fontId="43" fillId="0" borderId="0" xfId="0" applyNumberFormat="1" applyFont="1" applyFill="1" applyAlignment="1">
      <alignment horizontal="center" vertical="center" wrapText="1"/>
    </xf>
    <xf numFmtId="173" fontId="43" fillId="0" borderId="0" xfId="0" applyNumberFormat="1" applyFont="1" applyFill="1" applyAlignment="1">
      <alignment horizontal="center" vertical="center" wrapText="1"/>
    </xf>
    <xf numFmtId="0" fontId="45" fillId="0" borderId="0" xfId="0" applyFont="1" applyFill="1" applyAlignment="1">
      <alignment horizontal="center" vertical="center" wrapText="1"/>
    </xf>
    <xf numFmtId="8" fontId="43" fillId="0" borderId="0" xfId="0" applyNumberFormat="1" applyFont="1" applyFill="1" applyAlignment="1">
      <alignment horizontal="center" vertical="center" wrapText="1"/>
    </xf>
    <xf numFmtId="0" fontId="41" fillId="44" borderId="1" xfId="0" applyFont="1" applyFill="1" applyBorder="1" applyAlignment="1">
      <alignment horizontal="center" vertical="center" wrapText="1"/>
    </xf>
    <xf numFmtId="0" fontId="42" fillId="44" borderId="1" xfId="0" applyFont="1" applyFill="1" applyBorder="1" applyAlignment="1">
      <alignment horizontal="center" vertical="center" wrapText="1"/>
    </xf>
    <xf numFmtId="169" fontId="42" fillId="44" borderId="1" xfId="57" applyNumberFormat="1" applyFont="1" applyFill="1" applyBorder="1" applyAlignment="1">
      <alignment horizontal="center" vertical="center" wrapText="1"/>
    </xf>
    <xf numFmtId="172" fontId="42" fillId="44" borderId="1" xfId="0" applyNumberFormat="1" applyFont="1" applyFill="1" applyBorder="1" applyAlignment="1">
      <alignment horizontal="center" vertical="center" wrapText="1"/>
    </xf>
    <xf numFmtId="2" fontId="0" fillId="0" borderId="0" xfId="0" applyNumberFormat="1"/>
    <xf numFmtId="174" fontId="0" fillId="0" borderId="0" xfId="0" applyNumberFormat="1"/>
    <xf numFmtId="0" fontId="42" fillId="0" borderId="14" xfId="0" applyFont="1" applyFill="1" applyBorder="1" applyAlignment="1">
      <alignment horizontal="center" vertical="center" wrapText="1"/>
    </xf>
    <xf numFmtId="0" fontId="42" fillId="44" borderId="14" xfId="0" applyFont="1" applyFill="1" applyBorder="1" applyAlignment="1">
      <alignment horizontal="center" vertical="center" wrapText="1"/>
    </xf>
    <xf numFmtId="169" fontId="42" fillId="44" borderId="14" xfId="57" applyNumberFormat="1" applyFont="1" applyFill="1" applyBorder="1" applyAlignment="1">
      <alignment horizontal="center" vertical="center" wrapText="1"/>
    </xf>
    <xf numFmtId="172" fontId="42" fillId="0" borderId="0" xfId="0" applyNumberFormat="1" applyFont="1" applyFill="1" applyBorder="1" applyAlignment="1">
      <alignment horizontal="center" vertical="center" wrapText="1"/>
    </xf>
    <xf numFmtId="0" fontId="49" fillId="44" borderId="1" xfId="0" applyFont="1" applyFill="1" applyBorder="1" applyAlignment="1">
      <alignment horizontal="center" vertical="center" wrapText="1"/>
    </xf>
    <xf numFmtId="169" fontId="49" fillId="44" borderId="1" xfId="57" applyNumberFormat="1" applyFont="1" applyFill="1" applyBorder="1" applyAlignment="1">
      <alignment horizontal="center" vertical="center" wrapText="1"/>
    </xf>
    <xf numFmtId="169" fontId="49" fillId="0" borderId="0" xfId="57" applyNumberFormat="1" applyFont="1" applyFill="1" applyAlignment="1">
      <alignment horizontal="center" vertical="center" wrapText="1"/>
    </xf>
    <xf numFmtId="0" fontId="50" fillId="0" borderId="0" xfId="0" applyFont="1" applyFill="1" applyAlignment="1">
      <alignment horizontal="center" vertical="center" wrapText="1"/>
    </xf>
    <xf numFmtId="0" fontId="51" fillId="0" borderId="0" xfId="0" applyFont="1"/>
    <xf numFmtId="2" fontId="3" fillId="0" borderId="1" xfId="0" applyNumberFormat="1" applyFont="1" applyBorder="1" applyAlignment="1">
      <alignment horizontal="center"/>
    </xf>
    <xf numFmtId="0" fontId="2" fillId="0" borderId="1" xfId="0" applyFont="1" applyBorder="1" applyAlignment="1">
      <alignment horizontal="center"/>
    </xf>
    <xf numFmtId="2" fontId="2" fillId="0" borderId="1" xfId="0" applyNumberFormat="1" applyFont="1" applyBorder="1" applyAlignment="1">
      <alignment horizontal="center"/>
    </xf>
    <xf numFmtId="0" fontId="2" fillId="0" borderId="0" xfId="0" applyFont="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2" fillId="42" borderId="0" xfId="0" applyFont="1" applyFill="1" applyAlignment="1">
      <alignment horizontal="center" vertical="center"/>
    </xf>
    <xf numFmtId="0" fontId="27" fillId="0" borderId="0" xfId="0" applyFont="1" applyAlignment="1">
      <alignment horizontal="center" vertical="center" wrapText="1"/>
    </xf>
    <xf numFmtId="0" fontId="3" fillId="0" borderId="0" xfId="0" applyFont="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1" fillId="42" borderId="0" xfId="0" applyFont="1" applyFill="1" applyAlignment="1">
      <alignment horizont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41" fillId="44" borderId="1" xfId="0" applyFont="1" applyFill="1" applyBorder="1" applyAlignment="1">
      <alignment horizontal="center" vertical="center" wrapText="1"/>
    </xf>
    <xf numFmtId="0" fontId="43" fillId="0" borderId="0" xfId="0" applyFont="1" applyFill="1" applyAlignment="1">
      <alignment horizontal="center" vertical="center" wrapText="1"/>
    </xf>
    <xf numFmtId="0" fontId="43" fillId="0" borderId="0" xfId="0" applyFont="1" applyFill="1" applyBorder="1" applyAlignment="1">
      <alignment horizontal="center" vertical="center" wrapText="1"/>
    </xf>
    <xf numFmtId="0" fontId="40" fillId="44" borderId="35" xfId="0" applyFont="1" applyFill="1" applyBorder="1" applyAlignment="1">
      <alignment horizontal="center" vertical="center" wrapText="1"/>
    </xf>
    <xf numFmtId="0" fontId="39" fillId="44" borderId="61" xfId="0" applyFont="1" applyFill="1" applyBorder="1" applyAlignment="1">
      <alignment horizontal="center" vertical="center" wrapText="1"/>
    </xf>
    <xf numFmtId="0" fontId="39" fillId="44" borderId="62" xfId="0" applyFont="1" applyFill="1" applyBorder="1" applyAlignment="1">
      <alignment horizontal="center" vertical="center" wrapText="1"/>
    </xf>
    <xf numFmtId="0" fontId="40" fillId="44" borderId="61" xfId="0" applyFont="1" applyFill="1" applyBorder="1" applyAlignment="1">
      <alignment horizontal="center" vertical="center" wrapText="1"/>
    </xf>
    <xf numFmtId="0" fontId="40" fillId="44" borderId="62" xfId="0" applyFont="1" applyFill="1" applyBorder="1" applyAlignment="1">
      <alignment horizontal="center" vertical="center" wrapText="1"/>
    </xf>
    <xf numFmtId="0" fontId="42" fillId="0" borderId="35" xfId="0" applyFont="1" applyFill="1" applyBorder="1" applyAlignment="1">
      <alignment horizontal="center" vertical="center" wrapText="1"/>
    </xf>
    <xf numFmtId="0" fontId="42" fillId="0" borderId="61" xfId="0" applyFont="1" applyFill="1" applyBorder="1" applyAlignment="1">
      <alignment horizontal="center" vertical="center" wrapText="1"/>
    </xf>
    <xf numFmtId="0" fontId="42" fillId="0" borderId="62" xfId="0" applyFont="1" applyFill="1" applyBorder="1" applyAlignment="1">
      <alignment horizontal="center" vertical="center" wrapText="1"/>
    </xf>
    <xf numFmtId="0" fontId="2" fillId="2" borderId="35"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62" xfId="0" applyFont="1" applyFill="1" applyBorder="1" applyAlignment="1">
      <alignment horizontal="center" vertical="center"/>
    </xf>
    <xf numFmtId="0" fontId="33" fillId="0" borderId="35" xfId="48" applyFont="1" applyFill="1" applyBorder="1" applyAlignment="1">
      <alignment horizontal="center" vertical="center"/>
    </xf>
    <xf numFmtId="0" fontId="33" fillId="0" borderId="61" xfId="48" applyFont="1" applyFill="1" applyBorder="1" applyAlignment="1">
      <alignment horizontal="center" vertical="center"/>
    </xf>
    <xf numFmtId="0" fontId="33" fillId="0" borderId="62" xfId="48" applyFont="1" applyFill="1" applyBorder="1" applyAlignment="1">
      <alignment horizontal="center" vertical="center"/>
    </xf>
    <xf numFmtId="0" fontId="2" fillId="2" borderId="1" xfId="0" applyFont="1" applyFill="1" applyBorder="1" applyAlignment="1">
      <alignment horizontal="center"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2" borderId="0" xfId="0" applyFont="1" applyFill="1" applyAlignment="1">
      <alignment horizontal="center" vertical="center"/>
    </xf>
    <xf numFmtId="0" fontId="2" fillId="40" borderId="0" xfId="0" applyFont="1" applyFill="1" applyBorder="1" applyAlignment="1">
      <alignment horizontal="center" vertical="center"/>
    </xf>
    <xf numFmtId="0" fontId="2" fillId="2" borderId="0" xfId="0" applyFont="1" applyFill="1" applyBorder="1" applyAlignment="1">
      <alignment horizontal="center" vertical="center"/>
    </xf>
    <xf numFmtId="0" fontId="24" fillId="0" borderId="0" xfId="0" applyFont="1" applyAlignment="1">
      <alignment horizontal="center"/>
    </xf>
    <xf numFmtId="0" fontId="2" fillId="40" borderId="0" xfId="0" applyFont="1" applyFill="1" applyBorder="1" applyAlignment="1">
      <alignment horizontal="center" vertical="center" wrapText="1"/>
    </xf>
    <xf numFmtId="0" fontId="32" fillId="0" borderId="1" xfId="48" applyFont="1" applyFill="1" applyBorder="1" applyAlignment="1">
      <alignment horizontal="center" vertical="center" wrapText="1"/>
    </xf>
    <xf numFmtId="0" fontId="35" fillId="44" borderId="63" xfId="54" applyFont="1" applyFill="1" applyBorder="1" applyAlignment="1">
      <alignment horizontal="center" vertical="center"/>
    </xf>
  </cellXfs>
  <cellStyles count="59">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Incorreto" xfId="12" builtinId="27" customBuiltin="1"/>
    <cellStyle name="Moeda 2" xfId="55"/>
    <cellStyle name="Moeda 3" xfId="57"/>
    <cellStyle name="Neutra" xfId="13" builtinId="28" customBuiltin="1"/>
    <cellStyle name="Normal" xfId="0" builtinId="0"/>
    <cellStyle name="Normal 2" xfId="48"/>
    <cellStyle name="Normal 3" xfId="54"/>
    <cellStyle name="Nota" xfId="20" builtinId="10" customBuiltin="1"/>
    <cellStyle name="Porcentagem" xfId="1" builtinId="5"/>
    <cellStyle name="Porcentagem 2" xfId="53"/>
    <cellStyle name="Saída" xfId="15" builtinId="21" customBuiltin="1"/>
    <cellStyle name="Separador de milhares 2" xfId="56"/>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cellStyle name="Vírgula 3" xfId="5"/>
    <cellStyle name="Vírgula 3 2" xfId="51"/>
    <cellStyle name="Vírgula 4" xfId="4"/>
    <cellStyle name="Vírgula 4 2" xfId="50"/>
    <cellStyle name="Vírgula 5" xfId="47"/>
    <cellStyle name="Vírgula 5 2" xfId="52"/>
    <cellStyle name="Vírgula 6" xfId="49"/>
    <cellStyle name="Vírgula 7" xfId="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0"/>
  <sheetViews>
    <sheetView showGridLines="0" zoomScale="115" zoomScaleNormal="115" workbookViewId="0">
      <selection activeCell="A3" sqref="A3:H3"/>
    </sheetView>
  </sheetViews>
  <sheetFormatPr defaultColWidth="9.21875" defaultRowHeight="24" customHeight="1" x14ac:dyDescent="0.3"/>
  <cols>
    <col min="1" max="1" width="32.21875" style="40" customWidth="1"/>
    <col min="2" max="2" width="19.21875" style="40" bestFit="1" customWidth="1"/>
    <col min="3" max="4" width="22.21875" style="40" bestFit="1" customWidth="1"/>
    <col min="5" max="5" width="18.5546875" style="40" bestFit="1" customWidth="1"/>
    <col min="6" max="6" width="17.77734375" style="40" customWidth="1"/>
    <col min="7" max="7" width="15.77734375" style="40" customWidth="1"/>
    <col min="8" max="16384" width="9.21875" style="40"/>
  </cols>
  <sheetData>
    <row r="1" spans="1:8" ht="24" customHeight="1" x14ac:dyDescent="0.4">
      <c r="A1" s="428" t="s">
        <v>262</v>
      </c>
      <c r="B1" s="428"/>
      <c r="C1" s="428"/>
      <c r="D1" s="428"/>
      <c r="E1" s="428"/>
      <c r="F1" s="428"/>
      <c r="G1" s="428"/>
      <c r="H1" s="428"/>
    </row>
    <row r="2" spans="1:8" ht="24" customHeight="1" x14ac:dyDescent="0.4">
      <c r="A2" s="428" t="s">
        <v>263</v>
      </c>
      <c r="B2" s="428"/>
      <c r="C2" s="428"/>
      <c r="D2" s="428"/>
      <c r="E2" s="428"/>
      <c r="F2" s="428"/>
      <c r="G2" s="428"/>
      <c r="H2" s="428"/>
    </row>
    <row r="3" spans="1:8" ht="177" customHeight="1" x14ac:dyDescent="0.3">
      <c r="A3" s="403" t="s">
        <v>283</v>
      </c>
      <c r="B3" s="403"/>
      <c r="C3" s="403"/>
      <c r="D3" s="403"/>
      <c r="E3" s="403"/>
      <c r="F3" s="403"/>
      <c r="G3" s="403"/>
      <c r="H3" s="403"/>
    </row>
    <row r="4" spans="1:8" ht="24" customHeight="1" x14ac:dyDescent="0.35">
      <c r="A4" s="272"/>
      <c r="B4" s="272"/>
      <c r="C4" s="272"/>
      <c r="D4" s="272"/>
      <c r="E4" s="272"/>
      <c r="F4" s="272"/>
      <c r="G4" s="271"/>
      <c r="H4" s="271"/>
    </row>
    <row r="5" spans="1:8" ht="24" customHeight="1" x14ac:dyDescent="0.3">
      <c r="A5" s="404" t="s">
        <v>5</v>
      </c>
      <c r="B5" s="404"/>
      <c r="C5" s="404"/>
      <c r="D5" s="404"/>
      <c r="E5" s="404"/>
      <c r="F5" s="404"/>
      <c r="G5" s="404"/>
      <c r="H5" s="404"/>
    </row>
    <row r="6" spans="1:8" ht="40.5" customHeight="1" x14ac:dyDescent="0.3">
      <c r="A6" s="403" t="s">
        <v>269</v>
      </c>
      <c r="B6" s="403"/>
      <c r="C6" s="403"/>
      <c r="D6" s="403"/>
      <c r="E6" s="403"/>
      <c r="F6" s="403"/>
      <c r="G6" s="403"/>
      <c r="H6" s="403"/>
    </row>
    <row r="7" spans="1:8" ht="24" customHeight="1" x14ac:dyDescent="0.35">
      <c r="A7" s="167"/>
      <c r="B7" s="167"/>
      <c r="C7" s="167"/>
      <c r="D7" s="167"/>
      <c r="E7" s="167"/>
      <c r="F7" s="167"/>
      <c r="G7" s="162"/>
      <c r="H7" s="162"/>
    </row>
    <row r="8" spans="1:8" ht="24" customHeight="1" x14ac:dyDescent="0.3">
      <c r="A8" s="407" t="s">
        <v>0</v>
      </c>
      <c r="B8" s="408"/>
      <c r="C8" s="408"/>
      <c r="D8" s="408"/>
      <c r="E8" s="408"/>
      <c r="F8" s="408"/>
      <c r="G8" s="408"/>
      <c r="H8" s="408"/>
    </row>
    <row r="9" spans="1:8" ht="33.75" customHeight="1" x14ac:dyDescent="0.3">
      <c r="A9" s="403" t="s">
        <v>284</v>
      </c>
      <c r="B9" s="403"/>
      <c r="C9" s="403"/>
      <c r="D9" s="403"/>
      <c r="E9" s="403"/>
      <c r="F9" s="403"/>
      <c r="G9" s="403"/>
      <c r="H9" s="403"/>
    </row>
    <row r="10" spans="1:8" ht="24" customHeight="1" thickBot="1" x14ac:dyDescent="0.4"/>
    <row r="11" spans="1:8" ht="24" customHeight="1" thickBot="1" x14ac:dyDescent="0.35">
      <c r="A11" s="400" t="s">
        <v>0</v>
      </c>
      <c r="B11" s="402"/>
    </row>
    <row r="12" spans="1:8" ht="24" customHeight="1" x14ac:dyDescent="0.3">
      <c r="A12" s="1" t="s">
        <v>145</v>
      </c>
      <c r="B12" s="20"/>
    </row>
    <row r="13" spans="1:8" ht="24" customHeight="1" thickBot="1" x14ac:dyDescent="0.35">
      <c r="A13" s="2" t="s">
        <v>149</v>
      </c>
      <c r="B13" s="19"/>
    </row>
    <row r="15" spans="1:8" ht="24" customHeight="1" x14ac:dyDescent="0.3">
      <c r="A15" s="407" t="s">
        <v>146</v>
      </c>
      <c r="B15" s="408"/>
      <c r="C15" s="408"/>
      <c r="D15" s="408"/>
      <c r="E15" s="408"/>
      <c r="F15" s="408"/>
      <c r="G15" s="408"/>
      <c r="H15" s="408"/>
    </row>
    <row r="16" spans="1:8" ht="85.5" customHeight="1" x14ac:dyDescent="0.3">
      <c r="A16" s="403" t="s">
        <v>285</v>
      </c>
      <c r="B16" s="403"/>
      <c r="C16" s="403"/>
      <c r="D16" s="403"/>
      <c r="E16" s="403"/>
      <c r="F16" s="403"/>
      <c r="G16" s="403"/>
      <c r="H16" s="403"/>
    </row>
    <row r="17" spans="1:8" ht="24" customHeight="1" thickBot="1" x14ac:dyDescent="0.35">
      <c r="A17" s="167"/>
      <c r="B17" s="167"/>
      <c r="C17" s="167"/>
      <c r="D17" s="167"/>
      <c r="E17" s="167"/>
      <c r="F17" s="167"/>
    </row>
    <row r="18" spans="1:8" ht="24" customHeight="1" thickBot="1" x14ac:dyDescent="0.35">
      <c r="A18" s="397" t="s">
        <v>146</v>
      </c>
      <c r="B18" s="398"/>
      <c r="C18" s="398"/>
      <c r="D18" s="399"/>
    </row>
    <row r="19" spans="1:8" ht="24" customHeight="1" thickBot="1" x14ac:dyDescent="0.35">
      <c r="A19" s="159" t="s">
        <v>3</v>
      </c>
      <c r="B19" s="160" t="s">
        <v>1</v>
      </c>
      <c r="C19" s="160" t="s">
        <v>2</v>
      </c>
      <c r="D19" s="161" t="s">
        <v>147</v>
      </c>
    </row>
    <row r="20" spans="1:8" ht="24" customHeight="1" x14ac:dyDescent="0.3">
      <c r="A20" s="112" t="s">
        <v>145</v>
      </c>
      <c r="B20" s="120">
        <f>B12</f>
        <v>0</v>
      </c>
      <c r="C20" s="168"/>
      <c r="D20" s="93">
        <f>B20*C20</f>
        <v>0</v>
      </c>
      <c r="E20" s="162"/>
      <c r="G20" s="162"/>
      <c r="H20" s="162"/>
    </row>
    <row r="21" spans="1:8" ht="24" customHeight="1" thickBot="1" x14ac:dyDescent="0.35">
      <c r="A21" s="111" t="s">
        <v>149</v>
      </c>
      <c r="B21" s="122">
        <f>B13</f>
        <v>0</v>
      </c>
      <c r="C21" s="169"/>
      <c r="D21" s="170">
        <f>B21*C21</f>
        <v>0</v>
      </c>
      <c r="E21" s="162"/>
      <c r="G21" s="162"/>
      <c r="H21" s="162"/>
    </row>
    <row r="23" spans="1:8" ht="24" customHeight="1" x14ac:dyDescent="0.3">
      <c r="A23" s="407" t="s">
        <v>148</v>
      </c>
      <c r="B23" s="408"/>
      <c r="C23" s="408"/>
      <c r="D23" s="408"/>
      <c r="E23" s="408"/>
      <c r="F23" s="408"/>
      <c r="G23" s="408"/>
      <c r="H23" s="408"/>
    </row>
    <row r="24" spans="1:8" ht="72" customHeight="1" x14ac:dyDescent="0.3">
      <c r="A24" s="403" t="s">
        <v>270</v>
      </c>
      <c r="B24" s="403"/>
      <c r="C24" s="403"/>
      <c r="D24" s="403"/>
      <c r="E24" s="403"/>
      <c r="F24" s="403"/>
      <c r="G24" s="403"/>
      <c r="H24" s="403"/>
    </row>
    <row r="25" spans="1:8" ht="24" customHeight="1" thickBot="1" x14ac:dyDescent="0.35">
      <c r="A25" s="162"/>
      <c r="B25" s="162"/>
      <c r="C25" s="162"/>
      <c r="D25" s="162"/>
      <c r="F25" s="162"/>
    </row>
    <row r="26" spans="1:8" ht="24" customHeight="1" thickBot="1" x14ac:dyDescent="0.35">
      <c r="A26" s="400" t="s">
        <v>150</v>
      </c>
      <c r="B26" s="401"/>
      <c r="C26" s="401"/>
      <c r="D26" s="402"/>
    </row>
    <row r="27" spans="1:8" ht="24" customHeight="1" thickBot="1" x14ac:dyDescent="0.35">
      <c r="A27" s="50" t="s">
        <v>3</v>
      </c>
      <c r="B27" s="51" t="s">
        <v>1</v>
      </c>
      <c r="C27" s="51" t="s">
        <v>2</v>
      </c>
      <c r="D27" s="52" t="s">
        <v>4</v>
      </c>
    </row>
    <row r="28" spans="1:8" ht="24" customHeight="1" x14ac:dyDescent="0.3">
      <c r="A28" s="112" t="s">
        <v>155</v>
      </c>
      <c r="B28" s="120"/>
      <c r="C28" s="117"/>
      <c r="D28" s="128">
        <f t="shared" ref="D28:D33" si="0">B28*C28</f>
        <v>0</v>
      </c>
    </row>
    <row r="29" spans="1:8" ht="24" customHeight="1" x14ac:dyDescent="0.3">
      <c r="A29" s="114" t="s">
        <v>158</v>
      </c>
      <c r="B29" s="121"/>
      <c r="C29" s="118">
        <f>C28</f>
        <v>0</v>
      </c>
      <c r="D29" s="129">
        <f t="shared" si="0"/>
        <v>0</v>
      </c>
    </row>
    <row r="30" spans="1:8" ht="24" customHeight="1" thickBot="1" x14ac:dyDescent="0.35">
      <c r="A30" s="123" t="s">
        <v>159</v>
      </c>
      <c r="B30" s="124"/>
      <c r="C30" s="125">
        <f>C29</f>
        <v>0</v>
      </c>
      <c r="D30" s="130">
        <f t="shared" si="0"/>
        <v>0</v>
      </c>
    </row>
    <row r="31" spans="1:8" ht="24" customHeight="1" x14ac:dyDescent="0.3">
      <c r="A31" s="112" t="s">
        <v>156</v>
      </c>
      <c r="B31" s="120"/>
      <c r="C31" s="117">
        <f>C30</f>
        <v>0</v>
      </c>
      <c r="D31" s="128">
        <f t="shared" si="0"/>
        <v>0</v>
      </c>
    </row>
    <row r="32" spans="1:8" ht="24" customHeight="1" x14ac:dyDescent="0.3">
      <c r="A32" s="114" t="s">
        <v>157</v>
      </c>
      <c r="B32" s="121"/>
      <c r="C32" s="118">
        <f>C31</f>
        <v>0</v>
      </c>
      <c r="D32" s="129">
        <f t="shared" si="0"/>
        <v>0</v>
      </c>
    </row>
    <row r="33" spans="1:8" ht="24" customHeight="1" thickBot="1" x14ac:dyDescent="0.35">
      <c r="A33" s="111" t="s">
        <v>161</v>
      </c>
      <c r="B33" s="122"/>
      <c r="C33" s="119">
        <f>C32</f>
        <v>0</v>
      </c>
      <c r="D33" s="131">
        <f t="shared" si="0"/>
        <v>0</v>
      </c>
      <c r="G33" s="162"/>
      <c r="H33" s="162"/>
    </row>
    <row r="36" spans="1:8" ht="24" customHeight="1" x14ac:dyDescent="0.3">
      <c r="A36" s="407" t="s">
        <v>6</v>
      </c>
      <c r="B36" s="408"/>
      <c r="C36" s="408"/>
      <c r="D36" s="408"/>
      <c r="E36" s="408"/>
      <c r="F36" s="408"/>
      <c r="G36" s="408"/>
      <c r="H36" s="408"/>
    </row>
    <row r="37" spans="1:8" ht="69.75" customHeight="1" x14ac:dyDescent="0.3">
      <c r="A37" s="403" t="s">
        <v>286</v>
      </c>
      <c r="B37" s="403"/>
      <c r="C37" s="403"/>
      <c r="D37" s="403"/>
      <c r="E37" s="403"/>
      <c r="F37" s="403"/>
      <c r="G37" s="403"/>
      <c r="H37" s="403"/>
    </row>
    <row r="38" spans="1:8" ht="24" customHeight="1" thickBot="1" x14ac:dyDescent="0.35"/>
    <row r="39" spans="1:8" ht="24" customHeight="1" thickBot="1" x14ac:dyDescent="0.35">
      <c r="A39" s="397" t="s">
        <v>6</v>
      </c>
      <c r="B39" s="398"/>
      <c r="C39" s="398"/>
      <c r="D39" s="398"/>
      <c r="E39" s="399"/>
    </row>
    <row r="40" spans="1:8" ht="24" customHeight="1" thickBot="1" x14ac:dyDescent="0.35">
      <c r="A40" s="50" t="s">
        <v>3</v>
      </c>
      <c r="B40" s="51" t="s">
        <v>8</v>
      </c>
      <c r="C40" s="51" t="s">
        <v>9</v>
      </c>
      <c r="D40" s="51" t="s">
        <v>2</v>
      </c>
      <c r="E40" s="52" t="s">
        <v>4</v>
      </c>
    </row>
    <row r="41" spans="1:8" ht="24" customHeight="1" x14ac:dyDescent="0.3">
      <c r="A41" s="112" t="s">
        <v>158</v>
      </c>
      <c r="B41" s="120">
        <f>B12+D29</f>
        <v>0</v>
      </c>
      <c r="C41" s="126">
        <f>7/12</f>
        <v>0.58333333333333337</v>
      </c>
      <c r="D41" s="117"/>
      <c r="E41" s="128">
        <f>B41*C41*D41</f>
        <v>0</v>
      </c>
    </row>
    <row r="42" spans="1:8" ht="24" customHeight="1" thickBot="1" x14ac:dyDescent="0.35">
      <c r="A42" s="111" t="s">
        <v>157</v>
      </c>
      <c r="B42" s="122">
        <f>B13+D32</f>
        <v>0</v>
      </c>
      <c r="C42" s="127">
        <f>7/12</f>
        <v>0.58333333333333337</v>
      </c>
      <c r="D42" s="119">
        <f>D41</f>
        <v>0</v>
      </c>
      <c r="E42" s="131">
        <f>B42*C42*D42</f>
        <v>0</v>
      </c>
    </row>
    <row r="43" spans="1:8" ht="24" customHeight="1" thickBot="1" x14ac:dyDescent="0.35">
      <c r="A43" s="397" t="s">
        <v>10</v>
      </c>
      <c r="B43" s="398"/>
      <c r="C43" s="398"/>
      <c r="D43" s="398"/>
      <c r="E43" s="399"/>
    </row>
    <row r="44" spans="1:8" ht="24" customHeight="1" thickBot="1" x14ac:dyDescent="0.35">
      <c r="A44" s="50" t="s">
        <v>3</v>
      </c>
      <c r="B44" s="51" t="s">
        <v>8</v>
      </c>
      <c r="C44" s="51" t="s">
        <v>9</v>
      </c>
      <c r="D44" s="51" t="s">
        <v>2</v>
      </c>
      <c r="E44" s="52" t="s">
        <v>4</v>
      </c>
    </row>
    <row r="45" spans="1:8" ht="24" customHeight="1" x14ac:dyDescent="0.3">
      <c r="A45" s="112" t="s">
        <v>158</v>
      </c>
      <c r="B45" s="120">
        <f>B12+D29</f>
        <v>0</v>
      </c>
      <c r="C45" s="126">
        <f>1/12</f>
        <v>8.3333333333333329E-2</v>
      </c>
      <c r="D45" s="117">
        <f>1+D41</f>
        <v>1</v>
      </c>
      <c r="E45" s="128">
        <f>B45*C45*D45</f>
        <v>0</v>
      </c>
    </row>
    <row r="46" spans="1:8" ht="24" customHeight="1" thickBot="1" x14ac:dyDescent="0.35">
      <c r="A46" s="111" t="s">
        <v>157</v>
      </c>
      <c r="B46" s="122">
        <f>B13+D32</f>
        <v>0</v>
      </c>
      <c r="C46" s="127">
        <f>1/12</f>
        <v>8.3333333333333329E-2</v>
      </c>
      <c r="D46" s="119">
        <f>1+D42</f>
        <v>1</v>
      </c>
      <c r="E46" s="131">
        <f>B46*C46*D46</f>
        <v>0</v>
      </c>
    </row>
    <row r="47" spans="1:8" ht="33.75" customHeight="1" thickBot="1" x14ac:dyDescent="0.35"/>
    <row r="48" spans="1:8" ht="24" customHeight="1" thickBot="1" x14ac:dyDescent="0.35">
      <c r="A48" s="400" t="s">
        <v>7</v>
      </c>
      <c r="B48" s="401"/>
      <c r="C48" s="401"/>
      <c r="D48" s="402"/>
    </row>
    <row r="49" spans="1:8" ht="30.75" customHeight="1" thickBot="1" x14ac:dyDescent="0.35">
      <c r="A49" s="50" t="s">
        <v>3</v>
      </c>
      <c r="B49" s="51" t="s">
        <v>11</v>
      </c>
      <c r="C49" s="22" t="s">
        <v>12</v>
      </c>
      <c r="D49" s="52" t="s">
        <v>4</v>
      </c>
    </row>
    <row r="50" spans="1:8" ht="24" customHeight="1" x14ac:dyDescent="0.3">
      <c r="A50" s="112" t="s">
        <v>158</v>
      </c>
      <c r="B50" s="120">
        <f>E41</f>
        <v>0</v>
      </c>
      <c r="C50" s="120">
        <f>E45</f>
        <v>0</v>
      </c>
      <c r="D50" s="128">
        <f>SUM(B50:C50)</f>
        <v>0</v>
      </c>
    </row>
    <row r="51" spans="1:8" ht="24" customHeight="1" thickBot="1" x14ac:dyDescent="0.35">
      <c r="A51" s="111" t="s">
        <v>157</v>
      </c>
      <c r="B51" s="122">
        <f>E42</f>
        <v>0</v>
      </c>
      <c r="C51" s="122">
        <f>E46</f>
        <v>0</v>
      </c>
      <c r="D51" s="131">
        <f>SUM(B51:C51)</f>
        <v>0</v>
      </c>
      <c r="G51" s="162"/>
      <c r="H51" s="162"/>
    </row>
    <row r="53" spans="1:8" ht="24" customHeight="1" x14ac:dyDescent="0.3">
      <c r="A53" s="396" t="s">
        <v>13</v>
      </c>
      <c r="B53" s="396"/>
      <c r="C53" s="396"/>
      <c r="D53" s="396"/>
      <c r="E53" s="162"/>
      <c r="F53" s="162"/>
    </row>
    <row r="54" spans="1:8" ht="48" customHeight="1" x14ac:dyDescent="0.3">
      <c r="A54" s="403" t="s">
        <v>271</v>
      </c>
      <c r="B54" s="403"/>
      <c r="C54" s="403"/>
      <c r="D54" s="403"/>
      <c r="E54" s="403"/>
      <c r="F54" s="403"/>
    </row>
    <row r="55" spans="1:8" ht="24" customHeight="1" thickBot="1" x14ac:dyDescent="0.35"/>
    <row r="56" spans="1:8" ht="24" customHeight="1" thickBot="1" x14ac:dyDescent="0.35">
      <c r="A56" s="400" t="s">
        <v>13</v>
      </c>
      <c r="B56" s="401"/>
      <c r="C56" s="401"/>
      <c r="D56" s="402"/>
    </row>
    <row r="57" spans="1:8" ht="24" customHeight="1" thickBot="1" x14ac:dyDescent="0.35">
      <c r="A57" s="50" t="s">
        <v>3</v>
      </c>
      <c r="B57" s="51" t="s">
        <v>1</v>
      </c>
      <c r="C57" s="51" t="s">
        <v>2</v>
      </c>
      <c r="D57" s="52" t="s">
        <v>4</v>
      </c>
    </row>
    <row r="58" spans="1:8" ht="24" customHeight="1" x14ac:dyDescent="0.3">
      <c r="A58" s="4" t="s">
        <v>155</v>
      </c>
      <c r="B58" s="5"/>
      <c r="C58" s="5"/>
      <c r="D58" s="6"/>
    </row>
    <row r="59" spans="1:8" ht="24" customHeight="1" x14ac:dyDescent="0.3">
      <c r="A59" s="7" t="s">
        <v>158</v>
      </c>
      <c r="B59" s="8"/>
      <c r="C59" s="8"/>
      <c r="D59" s="9"/>
    </row>
    <row r="60" spans="1:8" ht="24" customHeight="1" thickBot="1" x14ac:dyDescent="0.35">
      <c r="A60" s="2" t="s">
        <v>160</v>
      </c>
      <c r="B60" s="10"/>
      <c r="C60" s="10"/>
      <c r="D60" s="3"/>
    </row>
    <row r="61" spans="1:8" ht="24" customHeight="1" x14ac:dyDescent="0.3">
      <c r="A61" s="4" t="s">
        <v>156</v>
      </c>
      <c r="B61" s="5"/>
      <c r="C61" s="5"/>
      <c r="D61" s="6"/>
    </row>
    <row r="62" spans="1:8" ht="24" customHeight="1" x14ac:dyDescent="0.3">
      <c r="A62" s="7" t="s">
        <v>157</v>
      </c>
      <c r="B62" s="8"/>
      <c r="C62" s="8"/>
      <c r="D62" s="9"/>
    </row>
    <row r="63" spans="1:8" ht="24" customHeight="1" thickBot="1" x14ac:dyDescent="0.35">
      <c r="A63" s="2" t="s">
        <v>161</v>
      </c>
      <c r="B63" s="10"/>
      <c r="C63" s="10"/>
      <c r="D63" s="3"/>
      <c r="H63" s="162"/>
    </row>
    <row r="65" spans="1:8" ht="24" customHeight="1" x14ac:dyDescent="0.3">
      <c r="A65" s="404" t="s">
        <v>5</v>
      </c>
      <c r="B65" s="404"/>
      <c r="C65" s="404"/>
      <c r="D65" s="404"/>
      <c r="E65" s="404"/>
      <c r="F65" s="404"/>
      <c r="G65" s="404"/>
      <c r="H65" s="404"/>
    </row>
    <row r="66" spans="1:8" ht="42" customHeight="1" x14ac:dyDescent="0.3">
      <c r="A66" s="405" t="s">
        <v>153</v>
      </c>
      <c r="B66" s="405"/>
      <c r="C66" s="405"/>
      <c r="D66" s="405"/>
      <c r="E66" s="405"/>
      <c r="F66" s="405"/>
      <c r="G66" s="405"/>
      <c r="H66" s="405"/>
    </row>
    <row r="67" spans="1:8" ht="30.75" customHeight="1" thickBot="1" x14ac:dyDescent="0.35"/>
    <row r="68" spans="1:8" ht="24" customHeight="1" thickBot="1" x14ac:dyDescent="0.35">
      <c r="A68" s="397" t="s">
        <v>5</v>
      </c>
      <c r="B68" s="398"/>
      <c r="C68" s="398"/>
      <c r="D68" s="398"/>
      <c r="E68" s="398"/>
      <c r="F68" s="398"/>
      <c r="G68" s="399"/>
    </row>
    <row r="69" spans="1:8" ht="47.4" thickBot="1" x14ac:dyDescent="0.35">
      <c r="A69" s="47" t="s">
        <v>3</v>
      </c>
      <c r="B69" s="48" t="s">
        <v>14</v>
      </c>
      <c r="C69" s="275" t="s">
        <v>154</v>
      </c>
      <c r="D69" s="163" t="s">
        <v>164</v>
      </c>
      <c r="E69" s="48" t="s">
        <v>11</v>
      </c>
      <c r="F69" s="48" t="s">
        <v>15</v>
      </c>
      <c r="G69" s="49" t="s">
        <v>16</v>
      </c>
    </row>
    <row r="70" spans="1:8" ht="24" customHeight="1" x14ac:dyDescent="0.3">
      <c r="A70" s="112" t="s">
        <v>155</v>
      </c>
      <c r="B70" s="120">
        <f>B12</f>
        <v>0</v>
      </c>
      <c r="C70" s="120">
        <f>D20</f>
        <v>0</v>
      </c>
      <c r="D70" s="120">
        <f t="shared" ref="D70:D75" si="1">D28</f>
        <v>0</v>
      </c>
      <c r="E70" s="113"/>
      <c r="F70" s="145">
        <f t="shared" ref="F70:F75" si="2">D58</f>
        <v>0</v>
      </c>
      <c r="G70" s="128">
        <f>SUM(B70:F70)</f>
        <v>0</v>
      </c>
    </row>
    <row r="71" spans="1:8" ht="24" customHeight="1" x14ac:dyDescent="0.3">
      <c r="A71" s="114" t="s">
        <v>158</v>
      </c>
      <c r="B71" s="121">
        <f>B12</f>
        <v>0</v>
      </c>
      <c r="C71" s="121">
        <f>D20</f>
        <v>0</v>
      </c>
      <c r="D71" s="121">
        <f t="shared" si="1"/>
        <v>0</v>
      </c>
      <c r="E71" s="121">
        <f>D50</f>
        <v>0</v>
      </c>
      <c r="F71" s="146">
        <f t="shared" si="2"/>
        <v>0</v>
      </c>
      <c r="G71" s="129">
        <f t="shared" ref="G71:G75" si="3">SUM(B71:F71)</f>
        <v>0</v>
      </c>
    </row>
    <row r="72" spans="1:8" ht="24" customHeight="1" thickBot="1" x14ac:dyDescent="0.35">
      <c r="A72" s="123" t="s">
        <v>160</v>
      </c>
      <c r="B72" s="124">
        <f>B12</f>
        <v>0</v>
      </c>
      <c r="C72" s="124">
        <f>D20</f>
        <v>0</v>
      </c>
      <c r="D72" s="124">
        <f t="shared" si="1"/>
        <v>0</v>
      </c>
      <c r="E72" s="138"/>
      <c r="F72" s="148">
        <f t="shared" si="2"/>
        <v>0</v>
      </c>
      <c r="G72" s="130">
        <f t="shared" si="3"/>
        <v>0</v>
      </c>
    </row>
    <row r="73" spans="1:8" ht="24" customHeight="1" x14ac:dyDescent="0.3">
      <c r="A73" s="112" t="s">
        <v>156</v>
      </c>
      <c r="B73" s="120">
        <f>B13</f>
        <v>0</v>
      </c>
      <c r="C73" s="120">
        <f>D21</f>
        <v>0</v>
      </c>
      <c r="D73" s="120">
        <f t="shared" si="1"/>
        <v>0</v>
      </c>
      <c r="E73" s="113"/>
      <c r="F73" s="145">
        <f t="shared" si="2"/>
        <v>0</v>
      </c>
      <c r="G73" s="128">
        <f t="shared" si="3"/>
        <v>0</v>
      </c>
    </row>
    <row r="74" spans="1:8" ht="24" customHeight="1" x14ac:dyDescent="0.3">
      <c r="A74" s="114" t="s">
        <v>157</v>
      </c>
      <c r="B74" s="121">
        <f>B13</f>
        <v>0</v>
      </c>
      <c r="C74" s="121">
        <f>D21</f>
        <v>0</v>
      </c>
      <c r="D74" s="121">
        <f t="shared" si="1"/>
        <v>0</v>
      </c>
      <c r="E74" s="121">
        <f>D51</f>
        <v>0</v>
      </c>
      <c r="F74" s="146">
        <f t="shared" si="2"/>
        <v>0</v>
      </c>
      <c r="G74" s="129">
        <f t="shared" si="3"/>
        <v>0</v>
      </c>
    </row>
    <row r="75" spans="1:8" ht="24" customHeight="1" thickBot="1" x14ac:dyDescent="0.35">
      <c r="A75" s="111" t="s">
        <v>161</v>
      </c>
      <c r="B75" s="122">
        <f>B13</f>
        <v>0</v>
      </c>
      <c r="C75" s="122">
        <f>D21</f>
        <v>0</v>
      </c>
      <c r="D75" s="122">
        <f t="shared" si="1"/>
        <v>0</v>
      </c>
      <c r="E75" s="116"/>
      <c r="F75" s="147">
        <f t="shared" si="2"/>
        <v>0</v>
      </c>
      <c r="G75" s="131">
        <f t="shared" si="3"/>
        <v>0</v>
      </c>
      <c r="H75" s="162"/>
    </row>
    <row r="77" spans="1:8" ht="24" customHeight="1" x14ac:dyDescent="0.3">
      <c r="A77" s="404" t="s">
        <v>141</v>
      </c>
      <c r="B77" s="404"/>
      <c r="C77" s="404"/>
      <c r="D77" s="404"/>
      <c r="E77" s="404"/>
      <c r="F77" s="404"/>
      <c r="G77" s="404"/>
      <c r="H77" s="404"/>
    </row>
    <row r="79" spans="1:8" ht="24" customHeight="1" x14ac:dyDescent="0.3">
      <c r="A79" s="407" t="s">
        <v>144</v>
      </c>
      <c r="B79" s="408"/>
      <c r="C79" s="408"/>
      <c r="D79" s="408"/>
      <c r="E79" s="408"/>
      <c r="F79" s="408"/>
      <c r="G79" s="408"/>
      <c r="H79" s="408"/>
    </row>
    <row r="80" spans="1:8" ht="16.2" thickBot="1" x14ac:dyDescent="0.35"/>
    <row r="81" spans="1:5" ht="31.5" customHeight="1" thickBot="1" x14ac:dyDescent="0.35">
      <c r="A81" s="409" t="s">
        <v>162</v>
      </c>
      <c r="B81" s="401"/>
      <c r="C81" s="401"/>
      <c r="D81" s="402"/>
      <c r="E81" s="171"/>
    </row>
    <row r="82" spans="1:5" ht="31.8" thickBot="1" x14ac:dyDescent="0.35">
      <c r="A82" s="23" t="s">
        <v>3</v>
      </c>
      <c r="B82" s="24" t="s">
        <v>1</v>
      </c>
      <c r="C82" s="158" t="s">
        <v>143</v>
      </c>
      <c r="D82" s="25" t="s">
        <v>4</v>
      </c>
    </row>
    <row r="83" spans="1:5" ht="24" customHeight="1" x14ac:dyDescent="0.3">
      <c r="A83" s="112" t="s">
        <v>155</v>
      </c>
      <c r="B83" s="120">
        <f t="shared" ref="B83:B88" si="4">G70</f>
        <v>0</v>
      </c>
      <c r="C83" s="134">
        <f>1/12</f>
        <v>8.3333333333333329E-2</v>
      </c>
      <c r="D83" s="128">
        <f>B83*C83</f>
        <v>0</v>
      </c>
    </row>
    <row r="84" spans="1:5" ht="24" customHeight="1" x14ac:dyDescent="0.3">
      <c r="A84" s="114" t="s">
        <v>158</v>
      </c>
      <c r="B84" s="121">
        <f t="shared" si="4"/>
        <v>0</v>
      </c>
      <c r="C84" s="132">
        <f t="shared" ref="C84:C88" si="5">1/12</f>
        <v>8.3333333333333329E-2</v>
      </c>
      <c r="D84" s="129">
        <f t="shared" ref="D84:D88" si="6">B84*C84</f>
        <v>0</v>
      </c>
    </row>
    <row r="85" spans="1:5" ht="24" customHeight="1" thickBot="1" x14ac:dyDescent="0.35">
      <c r="A85" s="123" t="s">
        <v>160</v>
      </c>
      <c r="B85" s="124">
        <f t="shared" si="4"/>
        <v>0</v>
      </c>
      <c r="C85" s="137">
        <f t="shared" si="5"/>
        <v>8.3333333333333329E-2</v>
      </c>
      <c r="D85" s="130">
        <f t="shared" si="6"/>
        <v>0</v>
      </c>
    </row>
    <row r="86" spans="1:5" ht="24" customHeight="1" x14ac:dyDescent="0.3">
      <c r="A86" s="112" t="s">
        <v>156</v>
      </c>
      <c r="B86" s="120">
        <f t="shared" si="4"/>
        <v>0</v>
      </c>
      <c r="C86" s="134">
        <f t="shared" si="5"/>
        <v>8.3333333333333329E-2</v>
      </c>
      <c r="D86" s="128">
        <f t="shared" si="6"/>
        <v>0</v>
      </c>
    </row>
    <row r="87" spans="1:5" ht="24" customHeight="1" x14ac:dyDescent="0.3">
      <c r="A87" s="114" t="s">
        <v>157</v>
      </c>
      <c r="B87" s="121">
        <f t="shared" si="4"/>
        <v>0</v>
      </c>
      <c r="C87" s="132">
        <f t="shared" si="5"/>
        <v>8.3333333333333329E-2</v>
      </c>
      <c r="D87" s="129">
        <f t="shared" si="6"/>
        <v>0</v>
      </c>
    </row>
    <row r="88" spans="1:5" ht="24" customHeight="1" thickBot="1" x14ac:dyDescent="0.35">
      <c r="A88" s="111" t="s">
        <v>161</v>
      </c>
      <c r="B88" s="122">
        <f t="shared" si="4"/>
        <v>0</v>
      </c>
      <c r="C88" s="133">
        <f t="shared" si="5"/>
        <v>8.3333333333333329E-2</v>
      </c>
      <c r="D88" s="131">
        <f t="shared" si="6"/>
        <v>0</v>
      </c>
    </row>
    <row r="89" spans="1:5" ht="16.2" thickBot="1" x14ac:dyDescent="0.35"/>
    <row r="90" spans="1:5" ht="36.75" customHeight="1" thickBot="1" x14ac:dyDescent="0.35">
      <c r="A90" s="409" t="s">
        <v>163</v>
      </c>
      <c r="B90" s="401"/>
      <c r="C90" s="401"/>
      <c r="D90" s="402"/>
    </row>
    <row r="91" spans="1:5" ht="30.75" customHeight="1" thickBot="1" x14ac:dyDescent="0.35">
      <c r="A91" s="23" t="s">
        <v>3</v>
      </c>
      <c r="B91" s="24" t="s">
        <v>1</v>
      </c>
      <c r="C91" s="158" t="s">
        <v>143</v>
      </c>
      <c r="D91" s="25" t="s">
        <v>4</v>
      </c>
    </row>
    <row r="92" spans="1:5" ht="24" customHeight="1" x14ac:dyDescent="0.3">
      <c r="A92" s="112" t="s">
        <v>155</v>
      </c>
      <c r="B92" s="120">
        <f t="shared" ref="B92:B97" si="7">G70</f>
        <v>0</v>
      </c>
      <c r="C92" s="134">
        <f>1/12</f>
        <v>8.3333333333333329E-2</v>
      </c>
      <c r="D92" s="128">
        <f>B92*C92</f>
        <v>0</v>
      </c>
    </row>
    <row r="93" spans="1:5" ht="24" customHeight="1" x14ac:dyDescent="0.3">
      <c r="A93" s="114" t="s">
        <v>158</v>
      </c>
      <c r="B93" s="121">
        <f t="shared" si="7"/>
        <v>0</v>
      </c>
      <c r="C93" s="132">
        <f t="shared" ref="C93:C97" si="8">1/12</f>
        <v>8.3333333333333329E-2</v>
      </c>
      <c r="D93" s="129">
        <f t="shared" ref="D93:D97" si="9">B93*C93</f>
        <v>0</v>
      </c>
    </row>
    <row r="94" spans="1:5" ht="24" customHeight="1" thickBot="1" x14ac:dyDescent="0.35">
      <c r="A94" s="123" t="s">
        <v>160</v>
      </c>
      <c r="B94" s="124">
        <f t="shared" si="7"/>
        <v>0</v>
      </c>
      <c r="C94" s="137">
        <f t="shared" si="8"/>
        <v>8.3333333333333329E-2</v>
      </c>
      <c r="D94" s="130">
        <f t="shared" si="9"/>
        <v>0</v>
      </c>
    </row>
    <row r="95" spans="1:5" ht="24" customHeight="1" x14ac:dyDescent="0.3">
      <c r="A95" s="112" t="s">
        <v>156</v>
      </c>
      <c r="B95" s="120">
        <f t="shared" si="7"/>
        <v>0</v>
      </c>
      <c r="C95" s="134">
        <f t="shared" si="8"/>
        <v>8.3333333333333329E-2</v>
      </c>
      <c r="D95" s="128">
        <f t="shared" si="9"/>
        <v>0</v>
      </c>
    </row>
    <row r="96" spans="1:5" ht="24" customHeight="1" x14ac:dyDescent="0.3">
      <c r="A96" s="114" t="s">
        <v>157</v>
      </c>
      <c r="B96" s="121">
        <f t="shared" si="7"/>
        <v>0</v>
      </c>
      <c r="C96" s="132">
        <f t="shared" si="8"/>
        <v>8.3333333333333329E-2</v>
      </c>
      <c r="D96" s="129">
        <f t="shared" si="9"/>
        <v>0</v>
      </c>
    </row>
    <row r="97" spans="1:5" ht="24" customHeight="1" thickBot="1" x14ac:dyDescent="0.35">
      <c r="A97" s="111" t="s">
        <v>161</v>
      </c>
      <c r="B97" s="122">
        <f t="shared" si="7"/>
        <v>0</v>
      </c>
      <c r="C97" s="133">
        <f t="shared" si="8"/>
        <v>8.3333333333333329E-2</v>
      </c>
      <c r="D97" s="131">
        <f t="shared" si="9"/>
        <v>0</v>
      </c>
    </row>
    <row r="98" spans="1:5" ht="38.25" customHeight="1" thickBot="1" x14ac:dyDescent="0.35"/>
    <row r="99" spans="1:5" ht="24" customHeight="1" thickBot="1" x14ac:dyDescent="0.35">
      <c r="A99" s="416" t="s">
        <v>17</v>
      </c>
      <c r="B99" s="417"/>
      <c r="C99" s="417"/>
      <c r="D99" s="417"/>
      <c r="E99" s="418"/>
    </row>
    <row r="100" spans="1:5" ht="30" customHeight="1" thickBot="1" x14ac:dyDescent="0.35">
      <c r="A100" s="23" t="s">
        <v>3</v>
      </c>
      <c r="B100" s="24" t="s">
        <v>1</v>
      </c>
      <c r="C100" s="158" t="s">
        <v>18</v>
      </c>
      <c r="D100" s="158" t="s">
        <v>143</v>
      </c>
      <c r="E100" s="25" t="s">
        <v>4</v>
      </c>
    </row>
    <row r="101" spans="1:5" ht="24" customHeight="1" x14ac:dyDescent="0.3">
      <c r="A101" s="112" t="s">
        <v>155</v>
      </c>
      <c r="B101" s="120">
        <f t="shared" ref="B101:B106" si="10">G70</f>
        <v>0</v>
      </c>
      <c r="C101" s="126">
        <f>1/3</f>
        <v>0.33333333333333331</v>
      </c>
      <c r="D101" s="134">
        <f>1/12</f>
        <v>8.3333333333333329E-2</v>
      </c>
      <c r="E101" s="128">
        <f t="shared" ref="E101:E106" si="11">B101*C101*D101</f>
        <v>0</v>
      </c>
    </row>
    <row r="102" spans="1:5" ht="24" customHeight="1" x14ac:dyDescent="0.3">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5">
      <c r="A103" s="123" t="s">
        <v>160</v>
      </c>
      <c r="B103" s="124">
        <f t="shared" si="10"/>
        <v>0</v>
      </c>
      <c r="C103" s="136">
        <f t="shared" si="12"/>
        <v>0.33333333333333331</v>
      </c>
      <c r="D103" s="137">
        <f t="shared" si="13"/>
        <v>8.3333333333333329E-2</v>
      </c>
      <c r="E103" s="130">
        <f t="shared" si="11"/>
        <v>0</v>
      </c>
    </row>
    <row r="104" spans="1:5" ht="24" customHeight="1" x14ac:dyDescent="0.3">
      <c r="A104" s="112" t="s">
        <v>156</v>
      </c>
      <c r="B104" s="120">
        <f t="shared" si="10"/>
        <v>0</v>
      </c>
      <c r="C104" s="126">
        <f t="shared" si="12"/>
        <v>0.33333333333333331</v>
      </c>
      <c r="D104" s="134">
        <f t="shared" si="13"/>
        <v>8.3333333333333329E-2</v>
      </c>
      <c r="E104" s="128">
        <f t="shared" si="11"/>
        <v>0</v>
      </c>
    </row>
    <row r="105" spans="1:5" ht="24" customHeight="1" x14ac:dyDescent="0.3">
      <c r="A105" s="114" t="s">
        <v>157</v>
      </c>
      <c r="B105" s="121">
        <f t="shared" si="10"/>
        <v>0</v>
      </c>
      <c r="C105" s="135">
        <f t="shared" si="12"/>
        <v>0.33333333333333331</v>
      </c>
      <c r="D105" s="132">
        <f t="shared" si="13"/>
        <v>8.3333333333333329E-2</v>
      </c>
      <c r="E105" s="129">
        <f t="shared" si="11"/>
        <v>0</v>
      </c>
    </row>
    <row r="106" spans="1:5" ht="24" customHeight="1" thickBot="1" x14ac:dyDescent="0.35">
      <c r="A106" s="111" t="s">
        <v>161</v>
      </c>
      <c r="B106" s="122">
        <f t="shared" si="10"/>
        <v>0</v>
      </c>
      <c r="C106" s="127">
        <f t="shared" si="12"/>
        <v>0.33333333333333331</v>
      </c>
      <c r="D106" s="133">
        <f t="shared" si="13"/>
        <v>8.3333333333333329E-2</v>
      </c>
      <c r="E106" s="131">
        <f t="shared" si="11"/>
        <v>0</v>
      </c>
    </row>
    <row r="107" spans="1:5" ht="24" customHeight="1" thickBot="1" x14ac:dyDescent="0.35"/>
    <row r="108" spans="1:5" ht="24" customHeight="1" thickBot="1" x14ac:dyDescent="0.35">
      <c r="A108" s="397" t="s">
        <v>144</v>
      </c>
      <c r="B108" s="398"/>
      <c r="C108" s="398"/>
      <c r="D108" s="398"/>
      <c r="E108" s="399"/>
    </row>
    <row r="109" spans="1:5" ht="24" customHeight="1" thickBot="1" x14ac:dyDescent="0.35">
      <c r="A109" s="23" t="s">
        <v>3</v>
      </c>
      <c r="B109" s="24" t="s">
        <v>140</v>
      </c>
      <c r="C109" s="24" t="s">
        <v>139</v>
      </c>
      <c r="D109" s="24" t="s">
        <v>19</v>
      </c>
      <c r="E109" s="25" t="s">
        <v>16</v>
      </c>
    </row>
    <row r="110" spans="1:5" ht="24" customHeight="1" x14ac:dyDescent="0.3">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3">
      <c r="A111" s="114" t="s">
        <v>158</v>
      </c>
      <c r="B111" s="121">
        <f t="shared" si="14"/>
        <v>0</v>
      </c>
      <c r="C111" s="121">
        <f t="shared" si="15"/>
        <v>0</v>
      </c>
      <c r="D111" s="121">
        <f t="shared" si="16"/>
        <v>0</v>
      </c>
      <c r="E111" s="129">
        <f t="shared" si="17"/>
        <v>0</v>
      </c>
    </row>
    <row r="112" spans="1:5" ht="24" customHeight="1" thickBot="1" x14ac:dyDescent="0.35">
      <c r="A112" s="123" t="s">
        <v>160</v>
      </c>
      <c r="B112" s="124">
        <f t="shared" si="14"/>
        <v>0</v>
      </c>
      <c r="C112" s="124">
        <f t="shared" si="15"/>
        <v>0</v>
      </c>
      <c r="D112" s="124">
        <f t="shared" si="16"/>
        <v>0</v>
      </c>
      <c r="E112" s="130">
        <f t="shared" si="17"/>
        <v>0</v>
      </c>
    </row>
    <row r="113" spans="1:8" ht="24" customHeight="1" x14ac:dyDescent="0.3">
      <c r="A113" s="112" t="s">
        <v>156</v>
      </c>
      <c r="B113" s="120">
        <f t="shared" si="14"/>
        <v>0</v>
      </c>
      <c r="C113" s="120">
        <f t="shared" si="15"/>
        <v>0</v>
      </c>
      <c r="D113" s="120">
        <f t="shared" si="16"/>
        <v>0</v>
      </c>
      <c r="E113" s="128">
        <f t="shared" si="17"/>
        <v>0</v>
      </c>
    </row>
    <row r="114" spans="1:8" ht="24" customHeight="1" x14ac:dyDescent="0.3">
      <c r="A114" s="114" t="s">
        <v>157</v>
      </c>
      <c r="B114" s="121">
        <f t="shared" si="14"/>
        <v>0</v>
      </c>
      <c r="C114" s="121">
        <f t="shared" si="15"/>
        <v>0</v>
      </c>
      <c r="D114" s="121">
        <f t="shared" si="16"/>
        <v>0</v>
      </c>
      <c r="E114" s="129">
        <f t="shared" si="17"/>
        <v>0</v>
      </c>
    </row>
    <row r="115" spans="1:8" ht="24" customHeight="1" thickBot="1" x14ac:dyDescent="0.35">
      <c r="A115" s="111" t="s">
        <v>161</v>
      </c>
      <c r="B115" s="122">
        <f t="shared" si="14"/>
        <v>0</v>
      </c>
      <c r="C115" s="122">
        <f t="shared" si="15"/>
        <v>0</v>
      </c>
      <c r="D115" s="122">
        <f t="shared" si="16"/>
        <v>0</v>
      </c>
      <c r="E115" s="131">
        <f t="shared" si="17"/>
        <v>0</v>
      </c>
      <c r="H115" s="162"/>
    </row>
    <row r="117" spans="1:8" ht="24" customHeight="1" x14ac:dyDescent="0.3">
      <c r="A117" s="407" t="s">
        <v>21</v>
      </c>
      <c r="B117" s="408"/>
      <c r="C117" s="408"/>
      <c r="D117" s="408"/>
      <c r="E117" s="408"/>
      <c r="F117" s="408"/>
      <c r="G117" s="408"/>
      <c r="H117" s="408"/>
    </row>
    <row r="118" spans="1:8" ht="51.75" customHeight="1" x14ac:dyDescent="0.3">
      <c r="A118" s="403" t="s">
        <v>272</v>
      </c>
      <c r="B118" s="403"/>
      <c r="C118" s="403"/>
      <c r="D118" s="403"/>
      <c r="E118" s="403"/>
      <c r="F118" s="403"/>
      <c r="G118" s="403"/>
      <c r="H118" s="403"/>
    </row>
    <row r="119" spans="1:8" ht="24" customHeight="1" thickBot="1" x14ac:dyDescent="0.35"/>
    <row r="120" spans="1:8" ht="24" customHeight="1" thickBot="1" x14ac:dyDescent="0.35">
      <c r="A120" s="400" t="s">
        <v>22</v>
      </c>
      <c r="B120" s="402"/>
    </row>
    <row r="121" spans="1:8" ht="24" customHeight="1" thickBot="1" x14ac:dyDescent="0.35">
      <c r="A121" s="23" t="s">
        <v>23</v>
      </c>
      <c r="B121" s="25" t="s">
        <v>2</v>
      </c>
    </row>
    <row r="122" spans="1:8" ht="24" customHeight="1" x14ac:dyDescent="0.3">
      <c r="A122" s="4" t="s">
        <v>24</v>
      </c>
      <c r="B122" s="28">
        <v>0.2</v>
      </c>
    </row>
    <row r="123" spans="1:8" ht="24" customHeight="1" x14ac:dyDescent="0.3">
      <c r="A123" s="7" t="s">
        <v>25</v>
      </c>
      <c r="B123" s="27">
        <v>2.5000000000000001E-2</v>
      </c>
    </row>
    <row r="124" spans="1:8" ht="24" customHeight="1" x14ac:dyDescent="0.3">
      <c r="A124" s="7" t="s">
        <v>26</v>
      </c>
      <c r="B124" s="257"/>
    </row>
    <row r="125" spans="1:8" ht="24" customHeight="1" x14ac:dyDescent="0.3">
      <c r="A125" s="7" t="s">
        <v>27</v>
      </c>
      <c r="B125" s="27">
        <v>1.4999999999999999E-2</v>
      </c>
    </row>
    <row r="126" spans="1:8" ht="24" customHeight="1" x14ac:dyDescent="0.3">
      <c r="A126" s="7" t="s">
        <v>28</v>
      </c>
      <c r="B126" s="27">
        <v>0.01</v>
      </c>
    </row>
    <row r="127" spans="1:8" ht="24" customHeight="1" x14ac:dyDescent="0.3">
      <c r="A127" s="7" t="s">
        <v>29</v>
      </c>
      <c r="B127" s="27">
        <v>6.0000000000000001E-3</v>
      </c>
    </row>
    <row r="128" spans="1:8" ht="24" customHeight="1" x14ac:dyDescent="0.3">
      <c r="A128" s="7" t="s">
        <v>30</v>
      </c>
      <c r="B128" s="27">
        <v>2E-3</v>
      </c>
    </row>
    <row r="129" spans="1:4" ht="24" customHeight="1" thickBot="1" x14ac:dyDescent="0.35">
      <c r="A129" s="2" t="s">
        <v>31</v>
      </c>
      <c r="B129" s="29">
        <v>0.08</v>
      </c>
    </row>
    <row r="130" spans="1:4" ht="24" customHeight="1" thickBot="1" x14ac:dyDescent="0.35">
      <c r="A130" s="265" t="s">
        <v>32</v>
      </c>
      <c r="B130" s="266">
        <f>SUM(B122:B129)</f>
        <v>0.33800000000000002</v>
      </c>
    </row>
    <row r="131" spans="1:4" ht="24" customHeight="1" thickBot="1" x14ac:dyDescent="0.35"/>
    <row r="132" spans="1:4" ht="24" customHeight="1" thickBot="1" x14ac:dyDescent="0.35">
      <c r="A132" s="400" t="s">
        <v>33</v>
      </c>
      <c r="B132" s="401"/>
      <c r="C132" s="401"/>
      <c r="D132" s="402"/>
    </row>
    <row r="133" spans="1:4" ht="24" customHeight="1" thickBot="1" x14ac:dyDescent="0.35">
      <c r="A133" s="23" t="s">
        <v>3</v>
      </c>
      <c r="B133" s="24" t="s">
        <v>1</v>
      </c>
      <c r="C133" s="24" t="s">
        <v>2</v>
      </c>
      <c r="D133" s="25" t="s">
        <v>4</v>
      </c>
    </row>
    <row r="134" spans="1:4" ht="24" customHeight="1" x14ac:dyDescent="0.3">
      <c r="A134" s="112" t="s">
        <v>155</v>
      </c>
      <c r="B134" s="120">
        <f t="shared" ref="B134:B139" si="18">G70+E110</f>
        <v>0</v>
      </c>
      <c r="C134" s="267">
        <f>SUM($B$122:$B$128)</f>
        <v>0.25800000000000001</v>
      </c>
      <c r="D134" s="128">
        <f>B134*C134</f>
        <v>0</v>
      </c>
    </row>
    <row r="135" spans="1:4" ht="24" customHeight="1" x14ac:dyDescent="0.3">
      <c r="A135" s="114" t="s">
        <v>158</v>
      </c>
      <c r="B135" s="121">
        <f t="shared" si="18"/>
        <v>0</v>
      </c>
      <c r="C135" s="268">
        <f t="shared" ref="C135:C139" si="19">SUM($B$122:$B$128)</f>
        <v>0.25800000000000001</v>
      </c>
      <c r="D135" s="129">
        <f t="shared" ref="D135:D139" si="20">B135*C135</f>
        <v>0</v>
      </c>
    </row>
    <row r="136" spans="1:4" ht="24" customHeight="1" thickBot="1" x14ac:dyDescent="0.35">
      <c r="A136" s="123" t="s">
        <v>160</v>
      </c>
      <c r="B136" s="124">
        <f t="shared" si="18"/>
        <v>0</v>
      </c>
      <c r="C136" s="269">
        <f t="shared" si="19"/>
        <v>0.25800000000000001</v>
      </c>
      <c r="D136" s="130">
        <f t="shared" si="20"/>
        <v>0</v>
      </c>
    </row>
    <row r="137" spans="1:4" ht="24" customHeight="1" x14ac:dyDescent="0.3">
      <c r="A137" s="112" t="s">
        <v>156</v>
      </c>
      <c r="B137" s="120">
        <f t="shared" si="18"/>
        <v>0</v>
      </c>
      <c r="C137" s="267">
        <f t="shared" si="19"/>
        <v>0.25800000000000001</v>
      </c>
      <c r="D137" s="128">
        <f t="shared" si="20"/>
        <v>0</v>
      </c>
    </row>
    <row r="138" spans="1:4" ht="24" customHeight="1" x14ac:dyDescent="0.3">
      <c r="A138" s="114" t="s">
        <v>157</v>
      </c>
      <c r="B138" s="121">
        <f t="shared" si="18"/>
        <v>0</v>
      </c>
      <c r="C138" s="268">
        <f t="shared" si="19"/>
        <v>0.25800000000000001</v>
      </c>
      <c r="D138" s="129">
        <f t="shared" si="20"/>
        <v>0</v>
      </c>
    </row>
    <row r="139" spans="1:4" ht="24" customHeight="1" thickBot="1" x14ac:dyDescent="0.35">
      <c r="A139" s="111" t="s">
        <v>161</v>
      </c>
      <c r="B139" s="122">
        <f t="shared" si="18"/>
        <v>0</v>
      </c>
      <c r="C139" s="270">
        <f t="shared" si="19"/>
        <v>0.25800000000000001</v>
      </c>
      <c r="D139" s="131">
        <f t="shared" si="20"/>
        <v>0</v>
      </c>
    </row>
    <row r="140" spans="1:4" ht="24" customHeight="1" thickBot="1" x14ac:dyDescent="0.35"/>
    <row r="141" spans="1:4" ht="24" customHeight="1" thickBot="1" x14ac:dyDescent="0.35">
      <c r="A141" s="400" t="s">
        <v>34</v>
      </c>
      <c r="B141" s="401"/>
      <c r="C141" s="401"/>
      <c r="D141" s="402"/>
    </row>
    <row r="142" spans="1:4" ht="24" customHeight="1" thickBot="1" x14ac:dyDescent="0.35">
      <c r="A142" s="23" t="s">
        <v>3</v>
      </c>
      <c r="B142" s="24" t="s">
        <v>1</v>
      </c>
      <c r="C142" s="24" t="s">
        <v>2</v>
      </c>
      <c r="D142" s="25" t="s">
        <v>4</v>
      </c>
    </row>
    <row r="143" spans="1:4" ht="24" customHeight="1" x14ac:dyDescent="0.3">
      <c r="A143" s="112" t="s">
        <v>155</v>
      </c>
      <c r="B143" s="120">
        <f t="shared" ref="B143:B148" si="21">G70+E110</f>
        <v>0</v>
      </c>
      <c r="C143" s="134">
        <f>$B$129</f>
        <v>0.08</v>
      </c>
      <c r="D143" s="128">
        <f>B143*C143</f>
        <v>0</v>
      </c>
    </row>
    <row r="144" spans="1:4" ht="24" customHeight="1" x14ac:dyDescent="0.3">
      <c r="A144" s="114" t="s">
        <v>158</v>
      </c>
      <c r="B144" s="121">
        <f t="shared" si="21"/>
        <v>0</v>
      </c>
      <c r="C144" s="132">
        <f t="shared" ref="C144:C148" si="22">$B$129</f>
        <v>0.08</v>
      </c>
      <c r="D144" s="129">
        <f t="shared" ref="D144:D148" si="23">B144*C144</f>
        <v>0</v>
      </c>
    </row>
    <row r="145" spans="1:8" ht="24" customHeight="1" thickBot="1" x14ac:dyDescent="0.35">
      <c r="A145" s="123" t="s">
        <v>160</v>
      </c>
      <c r="B145" s="124">
        <f t="shared" si="21"/>
        <v>0</v>
      </c>
      <c r="C145" s="137">
        <f t="shared" si="22"/>
        <v>0.08</v>
      </c>
      <c r="D145" s="130">
        <f t="shared" si="23"/>
        <v>0</v>
      </c>
    </row>
    <row r="146" spans="1:8" ht="24" customHeight="1" x14ac:dyDescent="0.3">
      <c r="A146" s="112" t="s">
        <v>156</v>
      </c>
      <c r="B146" s="120">
        <f t="shared" si="21"/>
        <v>0</v>
      </c>
      <c r="C146" s="134">
        <f t="shared" si="22"/>
        <v>0.08</v>
      </c>
      <c r="D146" s="128">
        <f t="shared" si="23"/>
        <v>0</v>
      </c>
    </row>
    <row r="147" spans="1:8" ht="24" customHeight="1" x14ac:dyDescent="0.3">
      <c r="A147" s="114" t="s">
        <v>157</v>
      </c>
      <c r="B147" s="121">
        <f t="shared" si="21"/>
        <v>0</v>
      </c>
      <c r="C147" s="132">
        <f t="shared" si="22"/>
        <v>0.08</v>
      </c>
      <c r="D147" s="129">
        <f t="shared" si="23"/>
        <v>0</v>
      </c>
    </row>
    <row r="148" spans="1:8" ht="24" customHeight="1" thickBot="1" x14ac:dyDescent="0.35">
      <c r="A148" s="111" t="s">
        <v>161</v>
      </c>
      <c r="B148" s="122">
        <f t="shared" si="21"/>
        <v>0</v>
      </c>
      <c r="C148" s="133">
        <f t="shared" si="22"/>
        <v>0.08</v>
      </c>
      <c r="D148" s="131">
        <f t="shared" si="23"/>
        <v>0</v>
      </c>
    </row>
    <row r="149" spans="1:8" ht="24" customHeight="1" thickBot="1" x14ac:dyDescent="0.35"/>
    <row r="150" spans="1:8" ht="24" customHeight="1" thickBot="1" x14ac:dyDescent="0.35">
      <c r="A150" s="400" t="s">
        <v>21</v>
      </c>
      <c r="B150" s="401"/>
      <c r="C150" s="401"/>
      <c r="D150" s="402"/>
    </row>
    <row r="151" spans="1:8" ht="24" customHeight="1" thickBot="1" x14ac:dyDescent="0.35">
      <c r="A151" s="23" t="s">
        <v>3</v>
      </c>
      <c r="B151" s="24" t="s">
        <v>35</v>
      </c>
      <c r="C151" s="24" t="s">
        <v>31</v>
      </c>
      <c r="D151" s="25" t="s">
        <v>16</v>
      </c>
    </row>
    <row r="152" spans="1:8" ht="24" customHeight="1" x14ac:dyDescent="0.3">
      <c r="A152" s="112" t="s">
        <v>155</v>
      </c>
      <c r="B152" s="120">
        <f>D134</f>
        <v>0</v>
      </c>
      <c r="C152" s="120">
        <f>D143</f>
        <v>0</v>
      </c>
      <c r="D152" s="128">
        <f>B152+C152</f>
        <v>0</v>
      </c>
    </row>
    <row r="153" spans="1:8" ht="24" customHeight="1" x14ac:dyDescent="0.3">
      <c r="A153" s="114" t="s">
        <v>158</v>
      </c>
      <c r="B153" s="121">
        <f t="shared" ref="B153:B157" si="24">D135</f>
        <v>0</v>
      </c>
      <c r="C153" s="121">
        <f t="shared" ref="C153:C157" si="25">D144</f>
        <v>0</v>
      </c>
      <c r="D153" s="129">
        <f t="shared" ref="D153:D157" si="26">B153+C153</f>
        <v>0</v>
      </c>
    </row>
    <row r="154" spans="1:8" ht="24" customHeight="1" thickBot="1" x14ac:dyDescent="0.35">
      <c r="A154" s="123" t="s">
        <v>160</v>
      </c>
      <c r="B154" s="124">
        <f t="shared" si="24"/>
        <v>0</v>
      </c>
      <c r="C154" s="124">
        <f t="shared" si="25"/>
        <v>0</v>
      </c>
      <c r="D154" s="130">
        <f t="shared" si="26"/>
        <v>0</v>
      </c>
    </row>
    <row r="155" spans="1:8" ht="24" customHeight="1" x14ac:dyDescent="0.3">
      <c r="A155" s="112" t="s">
        <v>156</v>
      </c>
      <c r="B155" s="120">
        <f t="shared" si="24"/>
        <v>0</v>
      </c>
      <c r="C155" s="120">
        <f t="shared" si="25"/>
        <v>0</v>
      </c>
      <c r="D155" s="128">
        <f t="shared" si="26"/>
        <v>0</v>
      </c>
    </row>
    <row r="156" spans="1:8" ht="24" customHeight="1" x14ac:dyDescent="0.3">
      <c r="A156" s="114" t="s">
        <v>157</v>
      </c>
      <c r="B156" s="121">
        <f t="shared" si="24"/>
        <v>0</v>
      </c>
      <c r="C156" s="121">
        <f t="shared" si="25"/>
        <v>0</v>
      </c>
      <c r="D156" s="129">
        <f t="shared" si="26"/>
        <v>0</v>
      </c>
    </row>
    <row r="157" spans="1:8" ht="24" customHeight="1" thickBot="1" x14ac:dyDescent="0.35">
      <c r="A157" s="111" t="s">
        <v>161</v>
      </c>
      <c r="B157" s="122">
        <f t="shared" si="24"/>
        <v>0</v>
      </c>
      <c r="C157" s="122">
        <f t="shared" si="25"/>
        <v>0</v>
      </c>
      <c r="D157" s="131">
        <f t="shared" si="26"/>
        <v>0</v>
      </c>
      <c r="H157" s="162"/>
    </row>
    <row r="159" spans="1:8" ht="24" customHeight="1" x14ac:dyDescent="0.3">
      <c r="A159" s="407" t="s">
        <v>36</v>
      </c>
      <c r="B159" s="408"/>
      <c r="C159" s="408"/>
      <c r="D159" s="408"/>
      <c r="E159" s="408"/>
      <c r="F159" s="408"/>
      <c r="G159" s="408"/>
      <c r="H159" s="408"/>
    </row>
    <row r="160" spans="1:8" ht="72.75" customHeight="1" x14ac:dyDescent="0.3">
      <c r="A160" s="403" t="s">
        <v>273</v>
      </c>
      <c r="B160" s="403"/>
      <c r="C160" s="403"/>
      <c r="D160" s="403"/>
      <c r="E160" s="403"/>
      <c r="F160" s="403"/>
      <c r="G160" s="403"/>
      <c r="H160" s="403"/>
    </row>
    <row r="162" spans="1:7" ht="24" customHeight="1" x14ac:dyDescent="0.3">
      <c r="A162" s="396" t="s">
        <v>37</v>
      </c>
      <c r="B162" s="396"/>
      <c r="C162" s="396"/>
      <c r="D162" s="396"/>
      <c r="E162" s="396"/>
      <c r="F162" s="396"/>
      <c r="G162" s="162"/>
    </row>
    <row r="163" spans="1:7" ht="36" customHeight="1" thickBot="1" x14ac:dyDescent="0.35"/>
    <row r="164" spans="1:7" ht="24" customHeight="1" thickBot="1" x14ac:dyDescent="0.35">
      <c r="A164" s="397" t="s">
        <v>42</v>
      </c>
      <c r="B164" s="398"/>
      <c r="C164" s="398"/>
      <c r="D164" s="398"/>
      <c r="E164" s="399"/>
    </row>
    <row r="165" spans="1:7" ht="31.8" thickBot="1" x14ac:dyDescent="0.35">
      <c r="A165" s="23" t="s">
        <v>3</v>
      </c>
      <c r="B165" s="24" t="s">
        <v>38</v>
      </c>
      <c r="C165" s="24" t="s">
        <v>39</v>
      </c>
      <c r="D165" s="158" t="s">
        <v>41</v>
      </c>
      <c r="E165" s="25" t="s">
        <v>40</v>
      </c>
    </row>
    <row r="166" spans="1:7" ht="24" customHeight="1" x14ac:dyDescent="0.3">
      <c r="A166" s="112" t="s">
        <v>155</v>
      </c>
      <c r="B166" s="120"/>
      <c r="C166" s="30">
        <v>2</v>
      </c>
      <c r="D166" s="30">
        <v>15</v>
      </c>
      <c r="E166" s="128">
        <f t="shared" ref="E166:E171" si="27">B166*C166*D166</f>
        <v>0</v>
      </c>
    </row>
    <row r="167" spans="1:7" ht="24" customHeight="1" x14ac:dyDescent="0.3">
      <c r="A167" s="114" t="s">
        <v>158</v>
      </c>
      <c r="B167" s="121">
        <f>B166</f>
        <v>0</v>
      </c>
      <c r="C167" s="31">
        <f t="shared" ref="C167:C171" si="28">C166</f>
        <v>2</v>
      </c>
      <c r="D167" s="31">
        <v>15</v>
      </c>
      <c r="E167" s="129">
        <f t="shared" si="27"/>
        <v>0</v>
      </c>
    </row>
    <row r="168" spans="1:7" ht="24" customHeight="1" thickBot="1" x14ac:dyDescent="0.35">
      <c r="A168" s="123" t="s">
        <v>160</v>
      </c>
      <c r="B168" s="124">
        <f>B167</f>
        <v>0</v>
      </c>
      <c r="C168" s="89">
        <f t="shared" si="28"/>
        <v>2</v>
      </c>
      <c r="D168" s="89">
        <v>22</v>
      </c>
      <c r="E168" s="130">
        <f t="shared" si="27"/>
        <v>0</v>
      </c>
    </row>
    <row r="169" spans="1:7" ht="24" customHeight="1" x14ac:dyDescent="0.3">
      <c r="A169" s="112" t="s">
        <v>156</v>
      </c>
      <c r="B169" s="120">
        <f>B168</f>
        <v>0</v>
      </c>
      <c r="C169" s="30">
        <f t="shared" si="28"/>
        <v>2</v>
      </c>
      <c r="D169" s="30">
        <v>15</v>
      </c>
      <c r="E169" s="128">
        <f t="shared" si="27"/>
        <v>0</v>
      </c>
    </row>
    <row r="170" spans="1:7" ht="24" customHeight="1" x14ac:dyDescent="0.3">
      <c r="A170" s="114" t="s">
        <v>157</v>
      </c>
      <c r="B170" s="121">
        <f>B169</f>
        <v>0</v>
      </c>
      <c r="C170" s="31">
        <f t="shared" si="28"/>
        <v>2</v>
      </c>
      <c r="D170" s="31">
        <v>15</v>
      </c>
      <c r="E170" s="129">
        <f t="shared" si="27"/>
        <v>0</v>
      </c>
    </row>
    <row r="171" spans="1:7" ht="24" customHeight="1" thickBot="1" x14ac:dyDescent="0.35">
      <c r="A171" s="111" t="s">
        <v>161</v>
      </c>
      <c r="B171" s="122">
        <f>B170</f>
        <v>0</v>
      </c>
      <c r="C171" s="32">
        <f t="shared" si="28"/>
        <v>2</v>
      </c>
      <c r="D171" s="32">
        <v>22</v>
      </c>
      <c r="E171" s="131">
        <f t="shared" si="27"/>
        <v>0</v>
      </c>
    </row>
    <row r="172" spans="1:7" ht="24" customHeight="1" thickBot="1" x14ac:dyDescent="0.35"/>
    <row r="173" spans="1:7" ht="24" customHeight="1" thickBot="1" x14ac:dyDescent="0.35">
      <c r="A173" s="397" t="s">
        <v>46</v>
      </c>
      <c r="B173" s="398"/>
      <c r="C173" s="398"/>
      <c r="D173" s="398"/>
      <c r="E173" s="399"/>
    </row>
    <row r="174" spans="1:7" ht="24" customHeight="1" thickBot="1" x14ac:dyDescent="0.35">
      <c r="A174" s="23" t="s">
        <v>3</v>
      </c>
      <c r="B174" s="24" t="s">
        <v>1</v>
      </c>
      <c r="C174" s="24" t="s">
        <v>43</v>
      </c>
      <c r="D174" s="24" t="s">
        <v>2</v>
      </c>
      <c r="E174" s="25" t="s">
        <v>44</v>
      </c>
    </row>
    <row r="175" spans="1:7" ht="24" customHeight="1" x14ac:dyDescent="0.3">
      <c r="A175" s="112" t="s">
        <v>155</v>
      </c>
      <c r="B175" s="120">
        <f>B12</f>
        <v>0</v>
      </c>
      <c r="C175" s="117">
        <v>0.5</v>
      </c>
      <c r="D175" s="117">
        <v>0.06</v>
      </c>
      <c r="E175" s="128">
        <f t="shared" ref="E175:E180" si="29">B175*C175*D175</f>
        <v>0</v>
      </c>
    </row>
    <row r="176" spans="1:7" ht="24" customHeight="1" x14ac:dyDescent="0.3">
      <c r="A176" s="114" t="s">
        <v>158</v>
      </c>
      <c r="B176" s="121">
        <f>B12</f>
        <v>0</v>
      </c>
      <c r="C176" s="118">
        <v>0.5</v>
      </c>
      <c r="D176" s="118">
        <v>0.06</v>
      </c>
      <c r="E176" s="129">
        <f t="shared" si="29"/>
        <v>0</v>
      </c>
    </row>
    <row r="177" spans="1:8" ht="24" customHeight="1" thickBot="1" x14ac:dyDescent="0.35">
      <c r="A177" s="123" t="s">
        <v>160</v>
      </c>
      <c r="B177" s="124">
        <f>B12</f>
        <v>0</v>
      </c>
      <c r="C177" s="125">
        <v>1</v>
      </c>
      <c r="D177" s="125">
        <v>0.06</v>
      </c>
      <c r="E177" s="130">
        <f t="shared" si="29"/>
        <v>0</v>
      </c>
    </row>
    <row r="178" spans="1:8" ht="24" customHeight="1" x14ac:dyDescent="0.3">
      <c r="A178" s="112" t="s">
        <v>156</v>
      </c>
      <c r="B178" s="120">
        <f>B13</f>
        <v>0</v>
      </c>
      <c r="C178" s="117">
        <v>0.5</v>
      </c>
      <c r="D178" s="117">
        <v>0.06</v>
      </c>
      <c r="E178" s="128">
        <f t="shared" si="29"/>
        <v>0</v>
      </c>
    </row>
    <row r="179" spans="1:8" ht="24" customHeight="1" x14ac:dyDescent="0.3">
      <c r="A179" s="114" t="s">
        <v>157</v>
      </c>
      <c r="B179" s="121">
        <f>B13</f>
        <v>0</v>
      </c>
      <c r="C179" s="118">
        <v>0.5</v>
      </c>
      <c r="D179" s="118">
        <v>0.06</v>
      </c>
      <c r="E179" s="129">
        <f t="shared" si="29"/>
        <v>0</v>
      </c>
    </row>
    <row r="180" spans="1:8" ht="24" customHeight="1" thickBot="1" x14ac:dyDescent="0.35">
      <c r="A180" s="111" t="s">
        <v>161</v>
      </c>
      <c r="B180" s="122">
        <f>B13</f>
        <v>0</v>
      </c>
      <c r="C180" s="119">
        <v>1</v>
      </c>
      <c r="D180" s="119">
        <v>0.06</v>
      </c>
      <c r="E180" s="131">
        <f t="shared" si="29"/>
        <v>0</v>
      </c>
    </row>
    <row r="181" spans="1:8" ht="24" customHeight="1" thickBot="1" x14ac:dyDescent="0.35"/>
    <row r="182" spans="1:8" ht="24" customHeight="1" thickBot="1" x14ac:dyDescent="0.35">
      <c r="A182" s="400" t="s">
        <v>48</v>
      </c>
      <c r="B182" s="401"/>
      <c r="C182" s="401"/>
      <c r="D182" s="402"/>
    </row>
    <row r="183" spans="1:8" ht="24" customHeight="1" thickBot="1" x14ac:dyDescent="0.35">
      <c r="A183" s="23" t="s">
        <v>3</v>
      </c>
      <c r="B183" s="24" t="s">
        <v>40</v>
      </c>
      <c r="C183" s="24" t="s">
        <v>45</v>
      </c>
      <c r="D183" s="25" t="s">
        <v>47</v>
      </c>
    </row>
    <row r="184" spans="1:8" ht="24" customHeight="1" x14ac:dyDescent="0.3">
      <c r="A184" s="112" t="s">
        <v>155</v>
      </c>
      <c r="B184" s="120">
        <f t="shared" ref="B184:B189" si="30">E166</f>
        <v>0</v>
      </c>
      <c r="C184" s="120">
        <f t="shared" ref="C184:C189" si="31">E175</f>
        <v>0</v>
      </c>
      <c r="D184" s="128">
        <f>B184-C184</f>
        <v>0</v>
      </c>
    </row>
    <row r="185" spans="1:8" ht="24" customHeight="1" x14ac:dyDescent="0.3">
      <c r="A185" s="114" t="s">
        <v>158</v>
      </c>
      <c r="B185" s="121">
        <f t="shared" si="30"/>
        <v>0</v>
      </c>
      <c r="C185" s="121">
        <f t="shared" si="31"/>
        <v>0</v>
      </c>
      <c r="D185" s="129">
        <f t="shared" ref="D185:D189" si="32">B185-C185</f>
        <v>0</v>
      </c>
    </row>
    <row r="186" spans="1:8" ht="24" customHeight="1" thickBot="1" x14ac:dyDescent="0.35">
      <c r="A186" s="123" t="s">
        <v>160</v>
      </c>
      <c r="B186" s="124">
        <f t="shared" si="30"/>
        <v>0</v>
      </c>
      <c r="C186" s="124">
        <f t="shared" si="31"/>
        <v>0</v>
      </c>
      <c r="D186" s="130">
        <f t="shared" si="32"/>
        <v>0</v>
      </c>
    </row>
    <row r="187" spans="1:8" ht="24" customHeight="1" x14ac:dyDescent="0.3">
      <c r="A187" s="112" t="s">
        <v>156</v>
      </c>
      <c r="B187" s="120">
        <f t="shared" si="30"/>
        <v>0</v>
      </c>
      <c r="C187" s="120">
        <f t="shared" si="31"/>
        <v>0</v>
      </c>
      <c r="D187" s="128">
        <f t="shared" si="32"/>
        <v>0</v>
      </c>
    </row>
    <row r="188" spans="1:8" ht="24" customHeight="1" x14ac:dyDescent="0.3">
      <c r="A188" s="114" t="s">
        <v>157</v>
      </c>
      <c r="B188" s="121">
        <f t="shared" si="30"/>
        <v>0</v>
      </c>
      <c r="C188" s="121">
        <f t="shared" si="31"/>
        <v>0</v>
      </c>
      <c r="D188" s="129">
        <f t="shared" si="32"/>
        <v>0</v>
      </c>
    </row>
    <row r="189" spans="1:8" ht="24" customHeight="1" thickBot="1" x14ac:dyDescent="0.35">
      <c r="A189" s="111" t="s">
        <v>161</v>
      </c>
      <c r="B189" s="122">
        <f t="shared" si="30"/>
        <v>0</v>
      </c>
      <c r="C189" s="122">
        <f t="shared" si="31"/>
        <v>0</v>
      </c>
      <c r="D189" s="131">
        <f t="shared" si="32"/>
        <v>0</v>
      </c>
      <c r="H189" s="162"/>
    </row>
    <row r="191" spans="1:8" ht="24" customHeight="1" x14ac:dyDescent="0.3">
      <c r="A191" s="396" t="s">
        <v>49</v>
      </c>
      <c r="B191" s="396"/>
      <c r="C191" s="396"/>
      <c r="D191" s="396"/>
      <c r="E191" s="396"/>
      <c r="F191" s="396"/>
      <c r="G191" s="162"/>
    </row>
    <row r="192" spans="1:8" ht="31.5" customHeight="1" thickBot="1" x14ac:dyDescent="0.35"/>
    <row r="193" spans="1:4" ht="24" customHeight="1" thickBot="1" x14ac:dyDescent="0.35">
      <c r="A193" s="400" t="s">
        <v>49</v>
      </c>
      <c r="B193" s="401"/>
      <c r="C193" s="401"/>
      <c r="D193" s="402"/>
    </row>
    <row r="194" spans="1:4" ht="27" customHeight="1" thickBot="1" x14ac:dyDescent="0.35">
      <c r="A194" s="86" t="s">
        <v>3</v>
      </c>
      <c r="B194" s="87" t="s">
        <v>50</v>
      </c>
      <c r="C194" s="22" t="s">
        <v>41</v>
      </c>
      <c r="D194" s="88" t="s">
        <v>4</v>
      </c>
    </row>
    <row r="195" spans="1:4" ht="24" customHeight="1" x14ac:dyDescent="0.3">
      <c r="A195" s="112" t="s">
        <v>155</v>
      </c>
      <c r="B195" s="120"/>
      <c r="C195" s="30">
        <f>D166</f>
        <v>15</v>
      </c>
      <c r="D195" s="128">
        <f>B195*C195</f>
        <v>0</v>
      </c>
    </row>
    <row r="196" spans="1:4" ht="24" customHeight="1" x14ac:dyDescent="0.3">
      <c r="A196" s="114" t="s">
        <v>158</v>
      </c>
      <c r="B196" s="121">
        <f>B195</f>
        <v>0</v>
      </c>
      <c r="C196" s="31">
        <f t="shared" ref="C196:C200" si="33">D167</f>
        <v>15</v>
      </c>
      <c r="D196" s="129">
        <f t="shared" ref="D196:D200" si="34">B196*C196</f>
        <v>0</v>
      </c>
    </row>
    <row r="197" spans="1:4" ht="24" customHeight="1" thickBot="1" x14ac:dyDescent="0.35">
      <c r="A197" s="111" t="s">
        <v>160</v>
      </c>
      <c r="B197" s="122">
        <f>B196</f>
        <v>0</v>
      </c>
      <c r="C197" s="32">
        <f t="shared" si="33"/>
        <v>22</v>
      </c>
      <c r="D197" s="131">
        <f t="shared" si="34"/>
        <v>0</v>
      </c>
    </row>
    <row r="198" spans="1:4" ht="24" customHeight="1" x14ac:dyDescent="0.3">
      <c r="A198" s="112" t="s">
        <v>156</v>
      </c>
      <c r="B198" s="120">
        <f>B197</f>
        <v>0</v>
      </c>
      <c r="C198" s="30">
        <f t="shared" si="33"/>
        <v>15</v>
      </c>
      <c r="D198" s="128">
        <f t="shared" si="34"/>
        <v>0</v>
      </c>
    </row>
    <row r="199" spans="1:4" ht="24" customHeight="1" x14ac:dyDescent="0.3">
      <c r="A199" s="114" t="s">
        <v>157</v>
      </c>
      <c r="B199" s="121">
        <f>B198</f>
        <v>0</v>
      </c>
      <c r="C199" s="31">
        <f t="shared" si="33"/>
        <v>15</v>
      </c>
      <c r="D199" s="129">
        <f t="shared" si="34"/>
        <v>0</v>
      </c>
    </row>
    <row r="200" spans="1:4" ht="24" customHeight="1" thickBot="1" x14ac:dyDescent="0.35">
      <c r="A200" s="111" t="s">
        <v>161</v>
      </c>
      <c r="B200" s="122">
        <f>B199</f>
        <v>0</v>
      </c>
      <c r="C200" s="32">
        <f t="shared" si="33"/>
        <v>22</v>
      </c>
      <c r="D200" s="131">
        <f t="shared" si="34"/>
        <v>0</v>
      </c>
    </row>
    <row r="201" spans="1:4" ht="24" customHeight="1" thickBot="1" x14ac:dyDescent="0.35"/>
    <row r="202" spans="1:4" ht="24" customHeight="1" thickBot="1" x14ac:dyDescent="0.35">
      <c r="A202" s="400" t="s">
        <v>51</v>
      </c>
      <c r="B202" s="401"/>
      <c r="C202" s="401"/>
      <c r="D202" s="402"/>
    </row>
    <row r="203" spans="1:4" ht="24" customHeight="1" thickBot="1" x14ac:dyDescent="0.35">
      <c r="A203" s="23" t="s">
        <v>3</v>
      </c>
      <c r="B203" s="24" t="s">
        <v>1</v>
      </c>
      <c r="C203" s="24" t="s">
        <v>2</v>
      </c>
      <c r="D203" s="25" t="s">
        <v>44</v>
      </c>
    </row>
    <row r="204" spans="1:4" ht="24" customHeight="1" x14ac:dyDescent="0.3">
      <c r="A204" s="112" t="s">
        <v>155</v>
      </c>
      <c r="B204" s="120">
        <f>D195</f>
        <v>0</v>
      </c>
      <c r="C204" s="117"/>
      <c r="D204" s="128">
        <f>B204*C204</f>
        <v>0</v>
      </c>
    </row>
    <row r="205" spans="1:4" ht="24" customHeight="1" x14ac:dyDescent="0.3">
      <c r="A205" s="114" t="s">
        <v>158</v>
      </c>
      <c r="B205" s="121">
        <f t="shared" ref="B205:B209" si="35">D196</f>
        <v>0</v>
      </c>
      <c r="C205" s="118">
        <f>C204</f>
        <v>0</v>
      </c>
      <c r="D205" s="129">
        <f t="shared" ref="D205:D209" si="36">B205*C205</f>
        <v>0</v>
      </c>
    </row>
    <row r="206" spans="1:4" ht="24" customHeight="1" x14ac:dyDescent="0.3">
      <c r="A206" s="114" t="s">
        <v>160</v>
      </c>
      <c r="B206" s="121">
        <f t="shared" si="35"/>
        <v>0</v>
      </c>
      <c r="C206" s="118">
        <f>C205</f>
        <v>0</v>
      </c>
      <c r="D206" s="129">
        <f t="shared" si="36"/>
        <v>0</v>
      </c>
    </row>
    <row r="207" spans="1:4" ht="24" customHeight="1" x14ac:dyDescent="0.3">
      <c r="A207" s="114" t="s">
        <v>156</v>
      </c>
      <c r="B207" s="121">
        <f t="shared" si="35"/>
        <v>0</v>
      </c>
      <c r="C207" s="118">
        <f>C206</f>
        <v>0</v>
      </c>
      <c r="D207" s="129">
        <f t="shared" si="36"/>
        <v>0</v>
      </c>
    </row>
    <row r="208" spans="1:4" ht="24" customHeight="1" x14ac:dyDescent="0.3">
      <c r="A208" s="114" t="s">
        <v>157</v>
      </c>
      <c r="B208" s="121">
        <f t="shared" si="35"/>
        <v>0</v>
      </c>
      <c r="C208" s="118">
        <f>C207</f>
        <v>0</v>
      </c>
      <c r="D208" s="129">
        <f t="shared" si="36"/>
        <v>0</v>
      </c>
    </row>
    <row r="209" spans="1:8" ht="24" customHeight="1" thickBot="1" x14ac:dyDescent="0.35">
      <c r="A209" s="111" t="s">
        <v>161</v>
      </c>
      <c r="B209" s="122">
        <f t="shared" si="35"/>
        <v>0</v>
      </c>
      <c r="C209" s="119">
        <f>C208</f>
        <v>0</v>
      </c>
      <c r="D209" s="131">
        <f t="shared" si="36"/>
        <v>0</v>
      </c>
    </row>
    <row r="210" spans="1:8" ht="24" customHeight="1" thickBot="1" x14ac:dyDescent="0.35"/>
    <row r="211" spans="1:8" ht="24" customHeight="1" thickBot="1" x14ac:dyDescent="0.35">
      <c r="A211" s="400" t="s">
        <v>52</v>
      </c>
      <c r="B211" s="401"/>
      <c r="C211" s="401"/>
      <c r="D211" s="402"/>
    </row>
    <row r="212" spans="1:8" ht="24" customHeight="1" thickBot="1" x14ac:dyDescent="0.35">
      <c r="A212" s="23" t="s">
        <v>3</v>
      </c>
      <c r="B212" s="24" t="s">
        <v>40</v>
      </c>
      <c r="C212" s="24" t="s">
        <v>44</v>
      </c>
      <c r="D212" s="25" t="s">
        <v>47</v>
      </c>
    </row>
    <row r="213" spans="1:8" ht="24" customHeight="1" x14ac:dyDescent="0.3">
      <c r="A213" s="112" t="s">
        <v>155</v>
      </c>
      <c r="B213" s="120">
        <f>D195</f>
        <v>0</v>
      </c>
      <c r="C213" s="120">
        <f>D204</f>
        <v>0</v>
      </c>
      <c r="D213" s="128">
        <f>B213-C213</f>
        <v>0</v>
      </c>
    </row>
    <row r="214" spans="1:8" ht="24" customHeight="1" x14ac:dyDescent="0.3">
      <c r="A214" s="114" t="s">
        <v>158</v>
      </c>
      <c r="B214" s="121">
        <f t="shared" ref="B214:B218" si="37">D196</f>
        <v>0</v>
      </c>
      <c r="C214" s="121">
        <f t="shared" ref="C214:C218" si="38">D205</f>
        <v>0</v>
      </c>
      <c r="D214" s="129">
        <f t="shared" ref="D214:D218" si="39">B214-C214</f>
        <v>0</v>
      </c>
    </row>
    <row r="215" spans="1:8" ht="24" customHeight="1" thickBot="1" x14ac:dyDescent="0.35">
      <c r="A215" s="123" t="s">
        <v>160</v>
      </c>
      <c r="B215" s="124">
        <f t="shared" si="37"/>
        <v>0</v>
      </c>
      <c r="C215" s="124">
        <f t="shared" si="38"/>
        <v>0</v>
      </c>
      <c r="D215" s="130">
        <f t="shared" si="39"/>
        <v>0</v>
      </c>
    </row>
    <row r="216" spans="1:8" ht="24" customHeight="1" x14ac:dyDescent="0.3">
      <c r="A216" s="112" t="s">
        <v>156</v>
      </c>
      <c r="B216" s="120">
        <f t="shared" si="37"/>
        <v>0</v>
      </c>
      <c r="C216" s="120">
        <f t="shared" si="38"/>
        <v>0</v>
      </c>
      <c r="D216" s="128">
        <f t="shared" si="39"/>
        <v>0</v>
      </c>
    </row>
    <row r="217" spans="1:8" ht="24" customHeight="1" x14ac:dyDescent="0.3">
      <c r="A217" s="114" t="s">
        <v>157</v>
      </c>
      <c r="B217" s="121">
        <f t="shared" si="37"/>
        <v>0</v>
      </c>
      <c r="C217" s="121">
        <f t="shared" si="38"/>
        <v>0</v>
      </c>
      <c r="D217" s="129">
        <f t="shared" si="39"/>
        <v>0</v>
      </c>
    </row>
    <row r="218" spans="1:8" ht="24" customHeight="1" thickBot="1" x14ac:dyDescent="0.35">
      <c r="A218" s="111" t="s">
        <v>161</v>
      </c>
      <c r="B218" s="122">
        <f t="shared" si="37"/>
        <v>0</v>
      </c>
      <c r="C218" s="122">
        <f t="shared" si="38"/>
        <v>0</v>
      </c>
      <c r="D218" s="131">
        <f t="shared" si="39"/>
        <v>0</v>
      </c>
      <c r="H218" s="162"/>
    </row>
    <row r="220" spans="1:8" ht="51.75" customHeight="1" x14ac:dyDescent="0.3">
      <c r="A220" s="406" t="s">
        <v>287</v>
      </c>
      <c r="B220" s="406"/>
      <c r="C220" s="406"/>
      <c r="D220" s="406"/>
      <c r="E220" s="406"/>
      <c r="F220" s="406"/>
      <c r="G220" s="406"/>
      <c r="H220" s="406"/>
    </row>
    <row r="221" spans="1:8" ht="24" customHeight="1" thickBot="1" x14ac:dyDescent="0.35"/>
    <row r="222" spans="1:8" ht="24" customHeight="1" thickBot="1" x14ac:dyDescent="0.35">
      <c r="A222" s="400" t="s">
        <v>265</v>
      </c>
      <c r="B222" s="401"/>
      <c r="C222" s="401"/>
      <c r="D222" s="402"/>
    </row>
    <row r="223" spans="1:8" ht="24" customHeight="1" thickBot="1" x14ac:dyDescent="0.35">
      <c r="A223" s="23" t="s">
        <v>3</v>
      </c>
      <c r="B223" s="24"/>
      <c r="C223" s="24"/>
      <c r="D223" s="25"/>
    </row>
    <row r="224" spans="1:8" ht="24" customHeight="1" x14ac:dyDescent="0.3">
      <c r="A224" s="4" t="s">
        <v>155</v>
      </c>
      <c r="B224" s="11"/>
      <c r="C224" s="11"/>
      <c r="D224" s="16"/>
    </row>
    <row r="225" spans="1:8" ht="24" customHeight="1" x14ac:dyDescent="0.3">
      <c r="A225" s="7" t="s">
        <v>158</v>
      </c>
      <c r="B225" s="12"/>
      <c r="C225" s="12"/>
      <c r="D225" s="17"/>
    </row>
    <row r="226" spans="1:8" ht="24" customHeight="1" thickBot="1" x14ac:dyDescent="0.35">
      <c r="A226" s="14" t="s">
        <v>160</v>
      </c>
      <c r="B226" s="15"/>
      <c r="C226" s="15"/>
      <c r="D226" s="18"/>
    </row>
    <row r="227" spans="1:8" ht="24" customHeight="1" x14ac:dyDescent="0.3">
      <c r="A227" s="4" t="s">
        <v>156</v>
      </c>
      <c r="B227" s="11"/>
      <c r="C227" s="11"/>
      <c r="D227" s="16"/>
    </row>
    <row r="228" spans="1:8" ht="24" customHeight="1" x14ac:dyDescent="0.3">
      <c r="A228" s="7" t="s">
        <v>157</v>
      </c>
      <c r="B228" s="12"/>
      <c r="C228" s="12"/>
      <c r="D228" s="17"/>
    </row>
    <row r="229" spans="1:8" ht="24" customHeight="1" thickBot="1" x14ac:dyDescent="0.35">
      <c r="A229" s="2" t="s">
        <v>161</v>
      </c>
      <c r="B229" s="13"/>
      <c r="C229" s="13"/>
      <c r="D229" s="19"/>
      <c r="H229" s="162"/>
    </row>
    <row r="231" spans="1:8" ht="46.5" customHeight="1" x14ac:dyDescent="0.3">
      <c r="A231" s="406" t="s">
        <v>288</v>
      </c>
      <c r="B231" s="406"/>
      <c r="C231" s="406"/>
      <c r="D231" s="406"/>
      <c r="E231" s="406"/>
      <c r="F231" s="406"/>
      <c r="G231" s="406"/>
      <c r="H231" s="406"/>
    </row>
    <row r="232" spans="1:8" ht="24" customHeight="1" thickBot="1" x14ac:dyDescent="0.35"/>
    <row r="233" spans="1:8" ht="24" customHeight="1" thickBot="1" x14ac:dyDescent="0.35">
      <c r="A233" s="400" t="s">
        <v>266</v>
      </c>
      <c r="B233" s="401"/>
      <c r="C233" s="401"/>
      <c r="D233" s="402"/>
    </row>
    <row r="234" spans="1:8" ht="24" customHeight="1" thickBot="1" x14ac:dyDescent="0.35">
      <c r="A234" s="23" t="s">
        <v>3</v>
      </c>
      <c r="B234" s="24"/>
      <c r="C234" s="24"/>
      <c r="D234" s="25"/>
    </row>
    <row r="235" spans="1:8" ht="24" customHeight="1" x14ac:dyDescent="0.3">
      <c r="A235" s="4" t="s">
        <v>155</v>
      </c>
      <c r="B235" s="11"/>
      <c r="C235" s="11"/>
      <c r="D235" s="16"/>
    </row>
    <row r="236" spans="1:8" ht="24" customHeight="1" x14ac:dyDescent="0.3">
      <c r="A236" s="7" t="s">
        <v>158</v>
      </c>
      <c r="B236" s="12"/>
      <c r="C236" s="12"/>
      <c r="D236" s="17"/>
    </row>
    <row r="237" spans="1:8" ht="24" customHeight="1" thickBot="1" x14ac:dyDescent="0.35">
      <c r="A237" s="14" t="s">
        <v>160</v>
      </c>
      <c r="B237" s="15"/>
      <c r="C237" s="15"/>
      <c r="D237" s="18"/>
    </row>
    <row r="238" spans="1:8" ht="24" customHeight="1" x14ac:dyDescent="0.3">
      <c r="A238" s="4" t="s">
        <v>156</v>
      </c>
      <c r="B238" s="11"/>
      <c r="C238" s="11"/>
      <c r="D238" s="16"/>
    </row>
    <row r="239" spans="1:8" ht="24" customHeight="1" x14ac:dyDescent="0.3">
      <c r="A239" s="7" t="s">
        <v>157</v>
      </c>
      <c r="B239" s="12"/>
      <c r="C239" s="12"/>
      <c r="D239" s="17"/>
    </row>
    <row r="240" spans="1:8" ht="24" customHeight="1" thickBot="1" x14ac:dyDescent="0.35">
      <c r="A240" s="2" t="s">
        <v>161</v>
      </c>
      <c r="B240" s="13"/>
      <c r="C240" s="13"/>
      <c r="D240" s="19"/>
      <c r="H240" s="33"/>
    </row>
    <row r="241" spans="1:8" ht="24" customHeight="1" thickBot="1" x14ac:dyDescent="0.35"/>
    <row r="242" spans="1:8" ht="24" customHeight="1" thickBot="1" x14ac:dyDescent="0.35">
      <c r="A242" s="397" t="s">
        <v>36</v>
      </c>
      <c r="B242" s="398"/>
      <c r="C242" s="398"/>
      <c r="D242" s="398"/>
      <c r="E242" s="398"/>
      <c r="F242" s="399"/>
      <c r="G242" s="33"/>
    </row>
    <row r="243" spans="1:8" ht="24" customHeight="1" thickBot="1" x14ac:dyDescent="0.35">
      <c r="A243" s="23" t="s">
        <v>3</v>
      </c>
      <c r="B243" s="24" t="s">
        <v>53</v>
      </c>
      <c r="C243" s="24" t="s">
        <v>54</v>
      </c>
      <c r="D243" s="24" t="s">
        <v>267</v>
      </c>
      <c r="E243" s="24" t="s">
        <v>268</v>
      </c>
      <c r="F243" s="25" t="s">
        <v>16</v>
      </c>
    </row>
    <row r="244" spans="1:8" ht="24" customHeight="1" x14ac:dyDescent="0.3">
      <c r="A244" s="112" t="s">
        <v>155</v>
      </c>
      <c r="B244" s="120">
        <f>D184</f>
        <v>0</v>
      </c>
      <c r="C244" s="120">
        <f>D213</f>
        <v>0</v>
      </c>
      <c r="D244" s="120">
        <f>D224</f>
        <v>0</v>
      </c>
      <c r="E244" s="120">
        <f t="shared" ref="E244:E249" si="40">D235</f>
        <v>0</v>
      </c>
      <c r="F244" s="128">
        <f>SUM(B244:E244)</f>
        <v>0</v>
      </c>
    </row>
    <row r="245" spans="1:8" ht="24" customHeight="1" x14ac:dyDescent="0.3">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5">
      <c r="A246" s="123" t="s">
        <v>160</v>
      </c>
      <c r="B246" s="124">
        <f t="shared" si="41"/>
        <v>0</v>
      </c>
      <c r="C246" s="124">
        <f t="shared" si="42"/>
        <v>0</v>
      </c>
      <c r="D246" s="124">
        <f t="shared" si="43"/>
        <v>0</v>
      </c>
      <c r="E246" s="124">
        <f t="shared" si="40"/>
        <v>0</v>
      </c>
      <c r="F246" s="130">
        <f t="shared" si="44"/>
        <v>0</v>
      </c>
    </row>
    <row r="247" spans="1:8" ht="24" customHeight="1" x14ac:dyDescent="0.3">
      <c r="A247" s="112" t="s">
        <v>156</v>
      </c>
      <c r="B247" s="120">
        <f t="shared" si="41"/>
        <v>0</v>
      </c>
      <c r="C247" s="120">
        <f t="shared" si="42"/>
        <v>0</v>
      </c>
      <c r="D247" s="120">
        <f t="shared" si="43"/>
        <v>0</v>
      </c>
      <c r="E247" s="120">
        <f t="shared" si="40"/>
        <v>0</v>
      </c>
      <c r="F247" s="128">
        <f t="shared" si="44"/>
        <v>0</v>
      </c>
    </row>
    <row r="248" spans="1:8" ht="24" customHeight="1" x14ac:dyDescent="0.3">
      <c r="A248" s="114" t="s">
        <v>157</v>
      </c>
      <c r="B248" s="121">
        <f t="shared" si="41"/>
        <v>0</v>
      </c>
      <c r="C248" s="121">
        <f t="shared" si="42"/>
        <v>0</v>
      </c>
      <c r="D248" s="121">
        <f t="shared" si="43"/>
        <v>0</v>
      </c>
      <c r="E248" s="121">
        <f t="shared" si="40"/>
        <v>0</v>
      </c>
      <c r="F248" s="129">
        <f t="shared" si="44"/>
        <v>0</v>
      </c>
    </row>
    <row r="249" spans="1:8" ht="24" customHeight="1" thickBot="1" x14ac:dyDescent="0.35">
      <c r="A249" s="111" t="s">
        <v>161</v>
      </c>
      <c r="B249" s="122">
        <f t="shared" si="41"/>
        <v>0</v>
      </c>
      <c r="C249" s="122">
        <f t="shared" si="42"/>
        <v>0</v>
      </c>
      <c r="D249" s="122">
        <f t="shared" si="43"/>
        <v>0</v>
      </c>
      <c r="E249" s="122">
        <f t="shared" si="40"/>
        <v>0</v>
      </c>
      <c r="F249" s="131">
        <f t="shared" si="44"/>
        <v>0</v>
      </c>
      <c r="H249" s="162"/>
    </row>
    <row r="251" spans="1:8" ht="24" customHeight="1" x14ac:dyDescent="0.3">
      <c r="A251" s="404" t="s">
        <v>141</v>
      </c>
      <c r="B251" s="404"/>
      <c r="C251" s="404"/>
      <c r="D251" s="404"/>
      <c r="E251" s="404"/>
      <c r="F251" s="404"/>
      <c r="G251" s="404"/>
      <c r="H251" s="404"/>
    </row>
    <row r="252" spans="1:8" ht="24" customHeight="1" thickBot="1" x14ac:dyDescent="0.35"/>
    <row r="253" spans="1:8" ht="24" customHeight="1" thickBot="1" x14ac:dyDescent="0.35">
      <c r="A253" s="397" t="s">
        <v>141</v>
      </c>
      <c r="B253" s="398"/>
      <c r="C253" s="398"/>
      <c r="D253" s="398"/>
      <c r="E253" s="399"/>
    </row>
    <row r="254" spans="1:8" ht="24" customHeight="1" thickBot="1" x14ac:dyDescent="0.35">
      <c r="A254" s="23" t="s">
        <v>3</v>
      </c>
      <c r="B254" s="24" t="s">
        <v>65</v>
      </c>
      <c r="C254" s="24" t="s">
        <v>66</v>
      </c>
      <c r="D254" s="24" t="s">
        <v>67</v>
      </c>
      <c r="E254" s="25" t="s">
        <v>16</v>
      </c>
    </row>
    <row r="255" spans="1:8" ht="24" customHeight="1" x14ac:dyDescent="0.3">
      <c r="A255" s="112" t="s">
        <v>155</v>
      </c>
      <c r="B255" s="120">
        <f t="shared" ref="B255:B260" si="45">E110</f>
        <v>0</v>
      </c>
      <c r="C255" s="120">
        <f t="shared" ref="C255:C260" si="46">D152</f>
        <v>0</v>
      </c>
      <c r="D255" s="120">
        <f>F244</f>
        <v>0</v>
      </c>
      <c r="E255" s="128">
        <f t="shared" ref="E255:E260" si="47">SUM(B255:D255)</f>
        <v>0</v>
      </c>
    </row>
    <row r="256" spans="1:8" ht="24" customHeight="1" x14ac:dyDescent="0.3">
      <c r="A256" s="114" t="s">
        <v>158</v>
      </c>
      <c r="B256" s="121">
        <f t="shared" si="45"/>
        <v>0</v>
      </c>
      <c r="C256" s="121">
        <f t="shared" si="46"/>
        <v>0</v>
      </c>
      <c r="D256" s="121">
        <f t="shared" ref="D256:D260" si="48">F245</f>
        <v>0</v>
      </c>
      <c r="E256" s="129">
        <f t="shared" si="47"/>
        <v>0</v>
      </c>
    </row>
    <row r="257" spans="1:8" ht="24" customHeight="1" thickBot="1" x14ac:dyDescent="0.35">
      <c r="A257" s="175" t="s">
        <v>160</v>
      </c>
      <c r="B257" s="122">
        <f t="shared" si="45"/>
        <v>0</v>
      </c>
      <c r="C257" s="122">
        <f t="shared" si="46"/>
        <v>0</v>
      </c>
      <c r="D257" s="122">
        <f t="shared" si="48"/>
        <v>0</v>
      </c>
      <c r="E257" s="131">
        <f t="shared" si="47"/>
        <v>0</v>
      </c>
    </row>
    <row r="258" spans="1:8" ht="24" customHeight="1" x14ac:dyDescent="0.3">
      <c r="A258" s="1" t="s">
        <v>156</v>
      </c>
      <c r="B258" s="21">
        <f t="shared" si="45"/>
        <v>0</v>
      </c>
      <c r="C258" s="21">
        <f t="shared" si="46"/>
        <v>0</v>
      </c>
      <c r="D258" s="21">
        <f t="shared" si="48"/>
        <v>0</v>
      </c>
      <c r="E258" s="20">
        <f t="shared" si="47"/>
        <v>0</v>
      </c>
    </row>
    <row r="259" spans="1:8" ht="24" customHeight="1" x14ac:dyDescent="0.3">
      <c r="A259" s="114" t="s">
        <v>157</v>
      </c>
      <c r="B259" s="121">
        <f t="shared" si="45"/>
        <v>0</v>
      </c>
      <c r="C259" s="121">
        <f t="shared" si="46"/>
        <v>0</v>
      </c>
      <c r="D259" s="121">
        <f t="shared" si="48"/>
        <v>0</v>
      </c>
      <c r="E259" s="129">
        <f t="shared" si="47"/>
        <v>0</v>
      </c>
    </row>
    <row r="260" spans="1:8" ht="24" customHeight="1" thickBot="1" x14ac:dyDescent="0.35">
      <c r="A260" s="111" t="s">
        <v>161</v>
      </c>
      <c r="B260" s="122">
        <f t="shared" si="45"/>
        <v>0</v>
      </c>
      <c r="C260" s="122">
        <f t="shared" si="46"/>
        <v>0</v>
      </c>
      <c r="D260" s="122">
        <f t="shared" si="48"/>
        <v>0</v>
      </c>
      <c r="E260" s="131">
        <f t="shared" si="47"/>
        <v>0</v>
      </c>
      <c r="H260" s="162"/>
    </row>
    <row r="262" spans="1:8" ht="24" customHeight="1" x14ac:dyDescent="0.3">
      <c r="A262" s="404" t="s">
        <v>55</v>
      </c>
      <c r="B262" s="404"/>
      <c r="C262" s="404"/>
      <c r="D262" s="404"/>
      <c r="E262" s="404"/>
      <c r="F262" s="404"/>
      <c r="G262" s="404"/>
      <c r="H262" s="404"/>
    </row>
    <row r="263" spans="1:8" ht="53.25" customHeight="1" x14ac:dyDescent="0.3">
      <c r="A263" s="403" t="s">
        <v>280</v>
      </c>
      <c r="B263" s="403"/>
      <c r="C263" s="403"/>
      <c r="D263" s="403"/>
      <c r="E263" s="403"/>
      <c r="F263" s="403"/>
      <c r="G263" s="403"/>
      <c r="H263" s="403"/>
    </row>
    <row r="264" spans="1:8" ht="24" customHeight="1" thickBot="1" x14ac:dyDescent="0.35"/>
    <row r="265" spans="1:8" ht="16.2" thickBot="1" x14ac:dyDescent="0.35">
      <c r="A265" s="426" t="s">
        <v>56</v>
      </c>
      <c r="B265" s="427"/>
    </row>
    <row r="266" spans="1:8" ht="16.2" thickBot="1" x14ac:dyDescent="0.35">
      <c r="A266" s="273" t="s">
        <v>57</v>
      </c>
      <c r="B266" s="274" t="s">
        <v>2</v>
      </c>
    </row>
    <row r="267" spans="1:8" ht="31.2" x14ac:dyDescent="0.3">
      <c r="A267" s="37" t="s">
        <v>58</v>
      </c>
      <c r="B267" s="90"/>
    </row>
    <row r="268" spans="1:8" ht="31.2" x14ac:dyDescent="0.3">
      <c r="A268" s="172" t="s">
        <v>59</v>
      </c>
      <c r="B268" s="173">
        <f>B267*45%</f>
        <v>0</v>
      </c>
    </row>
    <row r="269" spans="1:8" ht="31.2" x14ac:dyDescent="0.3">
      <c r="A269" s="172" t="s">
        <v>60</v>
      </c>
      <c r="B269" s="173">
        <f>B267*55%</f>
        <v>0</v>
      </c>
    </row>
    <row r="270" spans="1:8" ht="32.25" customHeight="1" x14ac:dyDescent="0.3">
      <c r="A270" s="34" t="s">
        <v>61</v>
      </c>
      <c r="B270" s="91"/>
    </row>
    <row r="271" spans="1:8" ht="30" customHeight="1" thickBot="1" x14ac:dyDescent="0.35">
      <c r="A271" s="35" t="s">
        <v>62</v>
      </c>
      <c r="B271" s="92"/>
    </row>
    <row r="272" spans="1:8" ht="24" customHeight="1" thickBot="1" x14ac:dyDescent="0.35">
      <c r="A272" s="273" t="s">
        <v>32</v>
      </c>
      <c r="B272" s="36">
        <f>SUM(B268:B271)</f>
        <v>0</v>
      </c>
      <c r="H272" s="162"/>
    </row>
    <row r="274" spans="1:8" ht="24" customHeight="1" x14ac:dyDescent="0.3">
      <c r="A274" s="407" t="s">
        <v>63</v>
      </c>
      <c r="B274" s="408"/>
      <c r="C274" s="408"/>
      <c r="D274" s="408"/>
      <c r="E274" s="408"/>
      <c r="F274" s="408"/>
      <c r="G274" s="408"/>
      <c r="H274" s="408"/>
    </row>
    <row r="275" spans="1:8" ht="106.5" customHeight="1" x14ac:dyDescent="0.3">
      <c r="A275" s="403" t="s">
        <v>289</v>
      </c>
      <c r="B275" s="403"/>
      <c r="C275" s="403"/>
      <c r="D275" s="403"/>
      <c r="E275" s="403"/>
      <c r="F275" s="403"/>
      <c r="G275" s="403"/>
      <c r="H275" s="403"/>
    </row>
    <row r="276" spans="1:8" ht="16.2" thickBot="1" x14ac:dyDescent="0.35"/>
    <row r="277" spans="1:8" ht="24" customHeight="1" thickBot="1" x14ac:dyDescent="0.35">
      <c r="A277" s="400" t="s">
        <v>64</v>
      </c>
      <c r="B277" s="401"/>
      <c r="C277" s="401"/>
      <c r="D277" s="402"/>
    </row>
    <row r="278" spans="1:8" ht="30" customHeight="1" thickBot="1" x14ac:dyDescent="0.35">
      <c r="A278" s="23" t="s">
        <v>3</v>
      </c>
      <c r="B278" s="24" t="s">
        <v>1</v>
      </c>
      <c r="C278" s="158" t="s">
        <v>143</v>
      </c>
      <c r="D278" s="25" t="s">
        <v>4</v>
      </c>
    </row>
    <row r="279" spans="1:8" ht="24" customHeight="1" x14ac:dyDescent="0.3">
      <c r="A279" s="112" t="s">
        <v>155</v>
      </c>
      <c r="B279" s="120">
        <f t="shared" ref="B279:B284" si="49">G70+(E255-D134)</f>
        <v>0</v>
      </c>
      <c r="C279" s="113">
        <v>12</v>
      </c>
      <c r="D279" s="128">
        <f>B279/C279</f>
        <v>0</v>
      </c>
    </row>
    <row r="280" spans="1:8" ht="24" customHeight="1" x14ac:dyDescent="0.3">
      <c r="A280" s="114" t="s">
        <v>158</v>
      </c>
      <c r="B280" s="121">
        <f t="shared" si="49"/>
        <v>0</v>
      </c>
      <c r="C280" s="115">
        <f>C279</f>
        <v>12</v>
      </c>
      <c r="D280" s="129">
        <f t="shared" ref="D280:D284" si="50">B280/C280</f>
        <v>0</v>
      </c>
    </row>
    <row r="281" spans="1:8" ht="24" customHeight="1" thickBot="1" x14ac:dyDescent="0.35">
      <c r="A281" s="123" t="s">
        <v>160</v>
      </c>
      <c r="B281" s="124">
        <f t="shared" si="49"/>
        <v>0</v>
      </c>
      <c r="C281" s="138">
        <f>C280</f>
        <v>12</v>
      </c>
      <c r="D281" s="130">
        <f t="shared" si="50"/>
        <v>0</v>
      </c>
    </row>
    <row r="282" spans="1:8" ht="24" customHeight="1" x14ac:dyDescent="0.3">
      <c r="A282" s="112" t="s">
        <v>156</v>
      </c>
      <c r="B282" s="120">
        <f t="shared" si="49"/>
        <v>0</v>
      </c>
      <c r="C282" s="113">
        <f>C281</f>
        <v>12</v>
      </c>
      <c r="D282" s="128">
        <f t="shared" si="50"/>
        <v>0</v>
      </c>
    </row>
    <row r="283" spans="1:8" ht="24" customHeight="1" x14ac:dyDescent="0.3">
      <c r="A283" s="114" t="s">
        <v>157</v>
      </c>
      <c r="B283" s="121">
        <f t="shared" si="49"/>
        <v>0</v>
      </c>
      <c r="C283" s="115">
        <f>C282</f>
        <v>12</v>
      </c>
      <c r="D283" s="129">
        <f t="shared" si="50"/>
        <v>0</v>
      </c>
    </row>
    <row r="284" spans="1:8" ht="33" customHeight="1" thickBot="1" x14ac:dyDescent="0.35">
      <c r="A284" s="111" t="s">
        <v>161</v>
      </c>
      <c r="B284" s="122">
        <f t="shared" si="49"/>
        <v>0</v>
      </c>
      <c r="C284" s="116">
        <f>C283</f>
        <v>12</v>
      </c>
      <c r="D284" s="131">
        <f t="shared" si="50"/>
        <v>0</v>
      </c>
    </row>
    <row r="285" spans="1:8" ht="16.2" thickBot="1" x14ac:dyDescent="0.35"/>
    <row r="286" spans="1:8" ht="25.5" customHeight="1" thickBot="1" x14ac:dyDescent="0.35">
      <c r="A286" s="416" t="s">
        <v>68</v>
      </c>
      <c r="B286" s="417"/>
      <c r="C286" s="417"/>
      <c r="D286" s="418"/>
      <c r="E286" s="39"/>
    </row>
    <row r="287" spans="1:8" ht="28.5" customHeight="1" thickBot="1" x14ac:dyDescent="0.35">
      <c r="A287" s="23" t="s">
        <v>3</v>
      </c>
      <c r="B287" s="24" t="s">
        <v>1</v>
      </c>
      <c r="C287" s="38" t="s">
        <v>69</v>
      </c>
      <c r="D287" s="25" t="s">
        <v>4</v>
      </c>
    </row>
    <row r="288" spans="1:8" ht="24" customHeight="1" x14ac:dyDescent="0.3">
      <c r="A288" s="112" t="s">
        <v>155</v>
      </c>
      <c r="B288" s="120">
        <f t="shared" ref="B288:B293" si="51">D143</f>
        <v>0</v>
      </c>
      <c r="C288" s="117">
        <v>0.5</v>
      </c>
      <c r="D288" s="128">
        <f>B288*C288</f>
        <v>0</v>
      </c>
    </row>
    <row r="289" spans="1:8" ht="24" customHeight="1" x14ac:dyDescent="0.3">
      <c r="A289" s="114" t="s">
        <v>158</v>
      </c>
      <c r="B289" s="121">
        <f t="shared" si="51"/>
        <v>0</v>
      </c>
      <c r="C289" s="118">
        <v>0.5</v>
      </c>
      <c r="D289" s="129">
        <f t="shared" ref="D289:D293" si="52">B289*C289</f>
        <v>0</v>
      </c>
    </row>
    <row r="290" spans="1:8" ht="24" customHeight="1" thickBot="1" x14ac:dyDescent="0.35">
      <c r="A290" s="123" t="s">
        <v>160</v>
      </c>
      <c r="B290" s="124">
        <f t="shared" si="51"/>
        <v>0</v>
      </c>
      <c r="C290" s="125">
        <v>0.5</v>
      </c>
      <c r="D290" s="130">
        <f t="shared" si="52"/>
        <v>0</v>
      </c>
    </row>
    <row r="291" spans="1:8" ht="24" customHeight="1" x14ac:dyDescent="0.3">
      <c r="A291" s="112" t="s">
        <v>156</v>
      </c>
      <c r="B291" s="120">
        <f t="shared" si="51"/>
        <v>0</v>
      </c>
      <c r="C291" s="117">
        <v>0.5</v>
      </c>
      <c r="D291" s="128">
        <f t="shared" si="52"/>
        <v>0</v>
      </c>
    </row>
    <row r="292" spans="1:8" ht="24" customHeight="1" x14ac:dyDescent="0.3">
      <c r="A292" s="114" t="s">
        <v>157</v>
      </c>
      <c r="B292" s="121">
        <f t="shared" si="51"/>
        <v>0</v>
      </c>
      <c r="C292" s="118">
        <v>0.5</v>
      </c>
      <c r="D292" s="129">
        <f t="shared" si="52"/>
        <v>0</v>
      </c>
    </row>
    <row r="293" spans="1:8" ht="24" customHeight="1" thickBot="1" x14ac:dyDescent="0.35">
      <c r="A293" s="111" t="s">
        <v>161</v>
      </c>
      <c r="B293" s="122">
        <f t="shared" si="51"/>
        <v>0</v>
      </c>
      <c r="C293" s="119">
        <v>0.5</v>
      </c>
      <c r="D293" s="131">
        <f t="shared" si="52"/>
        <v>0</v>
      </c>
    </row>
    <row r="294" spans="1:8" ht="24" customHeight="1" thickBot="1" x14ac:dyDescent="0.35"/>
    <row r="295" spans="1:8" ht="24" customHeight="1" thickBot="1" x14ac:dyDescent="0.35">
      <c r="A295" s="400" t="s">
        <v>70</v>
      </c>
      <c r="B295" s="401"/>
      <c r="C295" s="401"/>
      <c r="D295" s="402"/>
    </row>
    <row r="296" spans="1:8" ht="24" customHeight="1" thickBot="1" x14ac:dyDescent="0.35">
      <c r="A296" s="23" t="s">
        <v>3</v>
      </c>
      <c r="B296" s="24" t="s">
        <v>1</v>
      </c>
      <c r="C296" s="24" t="s">
        <v>2</v>
      </c>
      <c r="D296" s="25" t="s">
        <v>4</v>
      </c>
    </row>
    <row r="297" spans="1:8" ht="24" customHeight="1" x14ac:dyDescent="0.3">
      <c r="A297" s="112" t="s">
        <v>155</v>
      </c>
      <c r="B297" s="120">
        <f>D279+D288</f>
        <v>0</v>
      </c>
      <c r="C297" s="134">
        <f>$B$268</f>
        <v>0</v>
      </c>
      <c r="D297" s="128">
        <f>B297*C297</f>
        <v>0</v>
      </c>
    </row>
    <row r="298" spans="1:8" ht="24" customHeight="1" x14ac:dyDescent="0.3">
      <c r="A298" s="114" t="s">
        <v>158</v>
      </c>
      <c r="B298" s="121">
        <f t="shared" ref="B298:B302" si="53">D280+D289</f>
        <v>0</v>
      </c>
      <c r="C298" s="132">
        <f t="shared" ref="C298:C302" si="54">$B$268</f>
        <v>0</v>
      </c>
      <c r="D298" s="129">
        <f t="shared" ref="D298:D302" si="55">B298*C298</f>
        <v>0</v>
      </c>
    </row>
    <row r="299" spans="1:8" ht="24" customHeight="1" thickBot="1" x14ac:dyDescent="0.35">
      <c r="A299" s="123" t="s">
        <v>160</v>
      </c>
      <c r="B299" s="124">
        <f t="shared" si="53"/>
        <v>0</v>
      </c>
      <c r="C299" s="137">
        <f t="shared" si="54"/>
        <v>0</v>
      </c>
      <c r="D299" s="130">
        <f t="shared" si="55"/>
        <v>0</v>
      </c>
    </row>
    <row r="300" spans="1:8" ht="24" customHeight="1" x14ac:dyDescent="0.3">
      <c r="A300" s="112" t="s">
        <v>156</v>
      </c>
      <c r="B300" s="120">
        <f t="shared" si="53"/>
        <v>0</v>
      </c>
      <c r="C300" s="134">
        <f t="shared" si="54"/>
        <v>0</v>
      </c>
      <c r="D300" s="128">
        <f t="shared" si="55"/>
        <v>0</v>
      </c>
    </row>
    <row r="301" spans="1:8" ht="24" customHeight="1" x14ac:dyDescent="0.3">
      <c r="A301" s="114" t="s">
        <v>157</v>
      </c>
      <c r="B301" s="121">
        <f t="shared" si="53"/>
        <v>0</v>
      </c>
      <c r="C301" s="132">
        <f t="shared" si="54"/>
        <v>0</v>
      </c>
      <c r="D301" s="129">
        <f t="shared" si="55"/>
        <v>0</v>
      </c>
    </row>
    <row r="302" spans="1:8" ht="24" customHeight="1" thickBot="1" x14ac:dyDescent="0.35">
      <c r="A302" s="111" t="s">
        <v>161</v>
      </c>
      <c r="B302" s="122">
        <f t="shared" si="53"/>
        <v>0</v>
      </c>
      <c r="C302" s="133">
        <f t="shared" si="54"/>
        <v>0</v>
      </c>
      <c r="D302" s="131">
        <f t="shared" si="55"/>
        <v>0</v>
      </c>
      <c r="H302" s="162"/>
    </row>
    <row r="304" spans="1:8" ht="24" customHeight="1" x14ac:dyDescent="0.3">
      <c r="A304" s="407" t="s">
        <v>71</v>
      </c>
      <c r="B304" s="408"/>
      <c r="C304" s="408"/>
      <c r="D304" s="408"/>
      <c r="E304" s="408"/>
      <c r="F304" s="408"/>
      <c r="G304" s="408"/>
      <c r="H304" s="408"/>
    </row>
    <row r="305" spans="1:8" ht="101.25" customHeight="1" x14ac:dyDescent="0.3">
      <c r="A305" s="403" t="s">
        <v>290</v>
      </c>
      <c r="B305" s="403"/>
      <c r="C305" s="403"/>
      <c r="D305" s="403"/>
      <c r="E305" s="403"/>
      <c r="F305" s="403"/>
      <c r="G305" s="403"/>
      <c r="H305" s="403"/>
    </row>
    <row r="306" spans="1:8" ht="16.2" thickBot="1" x14ac:dyDescent="0.35"/>
    <row r="307" spans="1:8" ht="24" customHeight="1" thickBot="1" x14ac:dyDescent="0.35">
      <c r="A307" s="400" t="s">
        <v>72</v>
      </c>
      <c r="B307" s="401"/>
      <c r="C307" s="401"/>
      <c r="D307" s="402"/>
    </row>
    <row r="308" spans="1:8" ht="33" customHeight="1" thickBot="1" x14ac:dyDescent="0.35">
      <c r="A308" s="23" t="s">
        <v>3</v>
      </c>
      <c r="B308" s="24" t="s">
        <v>1</v>
      </c>
      <c r="C308" s="158" t="s">
        <v>143</v>
      </c>
      <c r="D308" s="25" t="s">
        <v>4</v>
      </c>
    </row>
    <row r="309" spans="1:8" ht="24" customHeight="1" x14ac:dyDescent="0.3">
      <c r="A309" s="112" t="s">
        <v>155</v>
      </c>
      <c r="B309" s="120">
        <f t="shared" ref="B309:B314" si="56">G70+E255</f>
        <v>0</v>
      </c>
      <c r="C309" s="113">
        <v>12</v>
      </c>
      <c r="D309" s="128">
        <f>B309/C309</f>
        <v>0</v>
      </c>
    </row>
    <row r="310" spans="1:8" ht="24" customHeight="1" x14ac:dyDescent="0.3">
      <c r="A310" s="114" t="s">
        <v>158</v>
      </c>
      <c r="B310" s="121">
        <f t="shared" si="56"/>
        <v>0</v>
      </c>
      <c r="C310" s="115">
        <v>12</v>
      </c>
      <c r="D310" s="129">
        <f t="shared" ref="D310:D314" si="57">B310/C310</f>
        <v>0</v>
      </c>
    </row>
    <row r="311" spans="1:8" ht="24" customHeight="1" thickBot="1" x14ac:dyDescent="0.35">
      <c r="A311" s="123" t="s">
        <v>160</v>
      </c>
      <c r="B311" s="124">
        <f t="shared" si="56"/>
        <v>0</v>
      </c>
      <c r="C311" s="138">
        <v>12</v>
      </c>
      <c r="D311" s="130">
        <f t="shared" si="57"/>
        <v>0</v>
      </c>
    </row>
    <row r="312" spans="1:8" ht="24" customHeight="1" x14ac:dyDescent="0.3">
      <c r="A312" s="112" t="s">
        <v>156</v>
      </c>
      <c r="B312" s="120">
        <f t="shared" si="56"/>
        <v>0</v>
      </c>
      <c r="C312" s="113">
        <v>12</v>
      </c>
      <c r="D312" s="128">
        <f t="shared" si="57"/>
        <v>0</v>
      </c>
    </row>
    <row r="313" spans="1:8" ht="24" customHeight="1" x14ac:dyDescent="0.3">
      <c r="A313" s="114" t="s">
        <v>157</v>
      </c>
      <c r="B313" s="121">
        <f t="shared" si="56"/>
        <v>0</v>
      </c>
      <c r="C313" s="115">
        <v>12</v>
      </c>
      <c r="D313" s="129">
        <f t="shared" si="57"/>
        <v>0</v>
      </c>
    </row>
    <row r="314" spans="1:8" ht="36.75" customHeight="1" thickBot="1" x14ac:dyDescent="0.35">
      <c r="A314" s="111" t="s">
        <v>161</v>
      </c>
      <c r="B314" s="122">
        <f t="shared" si="56"/>
        <v>0</v>
      </c>
      <c r="C314" s="116">
        <v>12</v>
      </c>
      <c r="D314" s="131">
        <f t="shared" si="57"/>
        <v>0</v>
      </c>
    </row>
    <row r="315" spans="1:8" ht="16.2" thickBot="1" x14ac:dyDescent="0.35"/>
    <row r="316" spans="1:8" ht="31.5" customHeight="1" thickBot="1" x14ac:dyDescent="0.35">
      <c r="A316" s="416" t="s">
        <v>73</v>
      </c>
      <c r="B316" s="417"/>
      <c r="C316" s="417"/>
      <c r="D316" s="418"/>
    </row>
    <row r="317" spans="1:8" ht="34.5" customHeight="1" thickBot="1" x14ac:dyDescent="0.35">
      <c r="A317" s="23" t="s">
        <v>3</v>
      </c>
      <c r="B317" s="24" t="s">
        <v>1</v>
      </c>
      <c r="C317" s="38" t="s">
        <v>69</v>
      </c>
      <c r="D317" s="25" t="s">
        <v>4</v>
      </c>
    </row>
    <row r="318" spans="1:8" ht="24" customHeight="1" x14ac:dyDescent="0.3">
      <c r="A318" s="112" t="s">
        <v>155</v>
      </c>
      <c r="B318" s="120">
        <f t="shared" ref="B318:B323" si="58">D143</f>
        <v>0</v>
      </c>
      <c r="C318" s="117">
        <v>0.5</v>
      </c>
      <c r="D318" s="128">
        <f>B318*C318</f>
        <v>0</v>
      </c>
    </row>
    <row r="319" spans="1:8" ht="24" customHeight="1" x14ac:dyDescent="0.3">
      <c r="A319" s="114" t="s">
        <v>158</v>
      </c>
      <c r="B319" s="121">
        <f t="shared" si="58"/>
        <v>0</v>
      </c>
      <c r="C319" s="118">
        <v>0.5</v>
      </c>
      <c r="D319" s="129">
        <f t="shared" ref="D319:D323" si="59">B319*C319</f>
        <v>0</v>
      </c>
    </row>
    <row r="320" spans="1:8" ht="24" customHeight="1" thickBot="1" x14ac:dyDescent="0.35">
      <c r="A320" s="123" t="s">
        <v>160</v>
      </c>
      <c r="B320" s="124">
        <f t="shared" si="58"/>
        <v>0</v>
      </c>
      <c r="C320" s="125">
        <v>0.5</v>
      </c>
      <c r="D320" s="130">
        <f t="shared" si="59"/>
        <v>0</v>
      </c>
    </row>
    <row r="321" spans="1:8" ht="24" customHeight="1" x14ac:dyDescent="0.3">
      <c r="A321" s="112" t="s">
        <v>156</v>
      </c>
      <c r="B321" s="120">
        <f t="shared" si="58"/>
        <v>0</v>
      </c>
      <c r="C321" s="117">
        <v>0.5</v>
      </c>
      <c r="D321" s="128">
        <f t="shared" si="59"/>
        <v>0</v>
      </c>
    </row>
    <row r="322" spans="1:8" ht="24" customHeight="1" x14ac:dyDescent="0.3">
      <c r="A322" s="114" t="s">
        <v>157</v>
      </c>
      <c r="B322" s="121">
        <f t="shared" si="58"/>
        <v>0</v>
      </c>
      <c r="C322" s="118">
        <v>0.5</v>
      </c>
      <c r="D322" s="129">
        <f t="shared" si="59"/>
        <v>0</v>
      </c>
    </row>
    <row r="323" spans="1:8" ht="24" customHeight="1" thickBot="1" x14ac:dyDescent="0.35">
      <c r="A323" s="111" t="s">
        <v>161</v>
      </c>
      <c r="B323" s="122">
        <f t="shared" si="58"/>
        <v>0</v>
      </c>
      <c r="C323" s="119">
        <v>0.5</v>
      </c>
      <c r="D323" s="131">
        <f t="shared" si="59"/>
        <v>0</v>
      </c>
    </row>
    <row r="324" spans="1:8" ht="24" customHeight="1" thickBot="1" x14ac:dyDescent="0.35"/>
    <row r="325" spans="1:8" ht="24" customHeight="1" thickBot="1" x14ac:dyDescent="0.35">
      <c r="A325" s="400" t="s">
        <v>82</v>
      </c>
      <c r="B325" s="401"/>
      <c r="C325" s="401"/>
      <c r="D325" s="402"/>
    </row>
    <row r="326" spans="1:8" ht="24" customHeight="1" thickBot="1" x14ac:dyDescent="0.35">
      <c r="A326" s="23" t="s">
        <v>3</v>
      </c>
      <c r="B326" s="24" t="s">
        <v>1</v>
      </c>
      <c r="C326" s="24" t="s">
        <v>2</v>
      </c>
      <c r="D326" s="25" t="s">
        <v>4</v>
      </c>
    </row>
    <row r="327" spans="1:8" ht="24" customHeight="1" x14ac:dyDescent="0.3">
      <c r="A327" s="112" t="s">
        <v>155</v>
      </c>
      <c r="B327" s="120">
        <f>D309+D318</f>
        <v>0</v>
      </c>
      <c r="C327" s="134">
        <f>$B$269</f>
        <v>0</v>
      </c>
      <c r="D327" s="128">
        <f>B327*C327</f>
        <v>0</v>
      </c>
    </row>
    <row r="328" spans="1:8" ht="24" customHeight="1" x14ac:dyDescent="0.3">
      <c r="A328" s="114" t="s">
        <v>158</v>
      </c>
      <c r="B328" s="121">
        <f t="shared" ref="B328:B332" si="60">D310+D319</f>
        <v>0</v>
      </c>
      <c r="C328" s="132">
        <f t="shared" ref="C328:C332" si="61">$B$269</f>
        <v>0</v>
      </c>
      <c r="D328" s="129">
        <f t="shared" ref="D328:D332" si="62">B328*C328</f>
        <v>0</v>
      </c>
    </row>
    <row r="329" spans="1:8" ht="24" customHeight="1" thickBot="1" x14ac:dyDescent="0.35">
      <c r="A329" s="111" t="s">
        <v>160</v>
      </c>
      <c r="B329" s="122">
        <f t="shared" si="60"/>
        <v>0</v>
      </c>
      <c r="C329" s="133">
        <f t="shared" si="61"/>
        <v>0</v>
      </c>
      <c r="D329" s="131">
        <f t="shared" si="62"/>
        <v>0</v>
      </c>
    </row>
    <row r="330" spans="1:8" ht="24" customHeight="1" x14ac:dyDescent="0.3">
      <c r="A330" s="112" t="s">
        <v>156</v>
      </c>
      <c r="B330" s="120">
        <f t="shared" si="60"/>
        <v>0</v>
      </c>
      <c r="C330" s="134">
        <f t="shared" si="61"/>
        <v>0</v>
      </c>
      <c r="D330" s="128">
        <f t="shared" si="62"/>
        <v>0</v>
      </c>
    </row>
    <row r="331" spans="1:8" ht="24" customHeight="1" x14ac:dyDescent="0.3">
      <c r="A331" s="114" t="s">
        <v>157</v>
      </c>
      <c r="B331" s="121">
        <f t="shared" si="60"/>
        <v>0</v>
      </c>
      <c r="C331" s="132">
        <f t="shared" si="61"/>
        <v>0</v>
      </c>
      <c r="D331" s="129">
        <f t="shared" si="62"/>
        <v>0</v>
      </c>
    </row>
    <row r="332" spans="1:8" ht="24" customHeight="1" thickBot="1" x14ac:dyDescent="0.35">
      <c r="A332" s="111" t="s">
        <v>161</v>
      </c>
      <c r="B332" s="122">
        <f t="shared" si="60"/>
        <v>0</v>
      </c>
      <c r="C332" s="133">
        <f t="shared" si="61"/>
        <v>0</v>
      </c>
      <c r="D332" s="131">
        <f t="shared" si="62"/>
        <v>0</v>
      </c>
      <c r="H332" s="162"/>
    </row>
    <row r="334" spans="1:8" ht="24" customHeight="1" x14ac:dyDescent="0.3">
      <c r="A334" s="407" t="s">
        <v>74</v>
      </c>
      <c r="B334" s="408"/>
      <c r="C334" s="408"/>
      <c r="D334" s="408"/>
      <c r="E334" s="408"/>
      <c r="F334" s="408"/>
      <c r="G334" s="408"/>
      <c r="H334" s="408"/>
    </row>
    <row r="335" spans="1:8" ht="75" customHeight="1" x14ac:dyDescent="0.3">
      <c r="A335" s="425" t="s">
        <v>291</v>
      </c>
      <c r="B335" s="425"/>
      <c r="C335" s="425"/>
      <c r="D335" s="425"/>
      <c r="E335" s="425"/>
      <c r="F335" s="425"/>
      <c r="G335" s="425"/>
      <c r="H335" s="425"/>
    </row>
    <row r="336" spans="1:8" ht="20.25" customHeight="1" thickBot="1" x14ac:dyDescent="0.35"/>
    <row r="337" spans="1:5" ht="24" customHeight="1" thickBot="1" x14ac:dyDescent="0.35">
      <c r="A337" s="397" t="s">
        <v>77</v>
      </c>
      <c r="B337" s="398"/>
      <c r="C337" s="398"/>
      <c r="D337" s="398"/>
      <c r="E337" s="399"/>
    </row>
    <row r="338" spans="1:5" ht="46.5" customHeight="1" thickBot="1" x14ac:dyDescent="0.35">
      <c r="A338" s="23" t="s">
        <v>3</v>
      </c>
      <c r="B338" s="158" t="s">
        <v>142</v>
      </c>
      <c r="C338" s="158" t="s">
        <v>76</v>
      </c>
      <c r="D338" s="158" t="s">
        <v>75</v>
      </c>
      <c r="E338" s="25" t="s">
        <v>4</v>
      </c>
    </row>
    <row r="339" spans="1:5" ht="24" customHeight="1" x14ac:dyDescent="0.3">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3">
      <c r="A340" s="114" t="s">
        <v>158</v>
      </c>
      <c r="B340" s="41">
        <f t="shared" si="63"/>
        <v>0</v>
      </c>
      <c r="C340" s="41">
        <f t="shared" si="64"/>
        <v>0</v>
      </c>
      <c r="D340" s="41">
        <f t="shared" si="65"/>
        <v>0</v>
      </c>
      <c r="E340" s="42">
        <f t="shared" si="66"/>
        <v>0</v>
      </c>
    </row>
    <row r="341" spans="1:5" ht="24" customHeight="1" thickBot="1" x14ac:dyDescent="0.35">
      <c r="A341" s="123" t="s">
        <v>160</v>
      </c>
      <c r="B341" s="149">
        <f t="shared" si="63"/>
        <v>0</v>
      </c>
      <c r="C341" s="149">
        <f t="shared" si="64"/>
        <v>0</v>
      </c>
      <c r="D341" s="149">
        <f t="shared" si="65"/>
        <v>0</v>
      </c>
      <c r="E341" s="150">
        <f t="shared" si="66"/>
        <v>0</v>
      </c>
    </row>
    <row r="342" spans="1:5" ht="24" customHeight="1" x14ac:dyDescent="0.3">
      <c r="A342" s="112" t="s">
        <v>156</v>
      </c>
      <c r="B342" s="45">
        <f t="shared" si="63"/>
        <v>0</v>
      </c>
      <c r="C342" s="45">
        <f t="shared" si="64"/>
        <v>0</v>
      </c>
      <c r="D342" s="45">
        <f t="shared" si="65"/>
        <v>0</v>
      </c>
      <c r="E342" s="46">
        <f t="shared" si="66"/>
        <v>0</v>
      </c>
    </row>
    <row r="343" spans="1:5" ht="24" customHeight="1" x14ac:dyDescent="0.3">
      <c r="A343" s="114" t="s">
        <v>157</v>
      </c>
      <c r="B343" s="41">
        <f t="shared" si="63"/>
        <v>0</v>
      </c>
      <c r="C343" s="41">
        <f t="shared" si="64"/>
        <v>0</v>
      </c>
      <c r="D343" s="41">
        <f t="shared" si="65"/>
        <v>0</v>
      </c>
      <c r="E343" s="42">
        <f t="shared" si="66"/>
        <v>0</v>
      </c>
    </row>
    <row r="344" spans="1:5" ht="24" customHeight="1" thickBot="1" x14ac:dyDescent="0.35">
      <c r="A344" s="111" t="s">
        <v>161</v>
      </c>
      <c r="B344" s="43">
        <f t="shared" si="63"/>
        <v>0</v>
      </c>
      <c r="C344" s="43">
        <f t="shared" si="64"/>
        <v>0</v>
      </c>
      <c r="D344" s="43">
        <f t="shared" si="65"/>
        <v>0</v>
      </c>
      <c r="E344" s="44">
        <f t="shared" si="66"/>
        <v>0</v>
      </c>
    </row>
    <row r="345" spans="1:5" ht="24" customHeight="1" thickBot="1" x14ac:dyDescent="0.35"/>
    <row r="346" spans="1:5" ht="24" customHeight="1" thickBot="1" x14ac:dyDescent="0.35">
      <c r="A346" s="400" t="s">
        <v>78</v>
      </c>
      <c r="B346" s="401"/>
      <c r="C346" s="401"/>
      <c r="D346" s="402"/>
    </row>
    <row r="347" spans="1:5" ht="24" customHeight="1" thickBot="1" x14ac:dyDescent="0.35">
      <c r="A347" s="23" t="s">
        <v>3</v>
      </c>
      <c r="B347" s="24" t="s">
        <v>8</v>
      </c>
      <c r="C347" s="24" t="s">
        <v>2</v>
      </c>
      <c r="D347" s="25" t="s">
        <v>4</v>
      </c>
    </row>
    <row r="348" spans="1:5" ht="24" customHeight="1" x14ac:dyDescent="0.3">
      <c r="A348" s="112" t="s">
        <v>155</v>
      </c>
      <c r="B348" s="45">
        <f t="shared" ref="B348:B353" si="67">E339</f>
        <v>0</v>
      </c>
      <c r="C348" s="134">
        <f>$B$270</f>
        <v>0</v>
      </c>
      <c r="D348" s="46">
        <f>B348*C348</f>
        <v>0</v>
      </c>
    </row>
    <row r="349" spans="1:5" ht="24" customHeight="1" x14ac:dyDescent="0.3">
      <c r="A349" s="114" t="s">
        <v>158</v>
      </c>
      <c r="B349" s="41">
        <f t="shared" si="67"/>
        <v>0</v>
      </c>
      <c r="C349" s="132">
        <f t="shared" ref="C349:C353" si="68">$B$270</f>
        <v>0</v>
      </c>
      <c r="D349" s="42">
        <f t="shared" ref="D349:D353" si="69">B349*C349</f>
        <v>0</v>
      </c>
    </row>
    <row r="350" spans="1:5" ht="24" customHeight="1" thickBot="1" x14ac:dyDescent="0.35">
      <c r="A350" s="111" t="s">
        <v>160</v>
      </c>
      <c r="B350" s="43">
        <f t="shared" si="67"/>
        <v>0</v>
      </c>
      <c r="C350" s="133">
        <f t="shared" si="68"/>
        <v>0</v>
      </c>
      <c r="D350" s="44">
        <f t="shared" si="69"/>
        <v>0</v>
      </c>
    </row>
    <row r="351" spans="1:5" ht="24" customHeight="1" x14ac:dyDescent="0.3">
      <c r="A351" s="112" t="s">
        <v>156</v>
      </c>
      <c r="B351" s="45">
        <f t="shared" si="67"/>
        <v>0</v>
      </c>
      <c r="C351" s="134">
        <f t="shared" si="68"/>
        <v>0</v>
      </c>
      <c r="D351" s="46">
        <f t="shared" si="69"/>
        <v>0</v>
      </c>
    </row>
    <row r="352" spans="1:5" ht="24" customHeight="1" x14ac:dyDescent="0.3">
      <c r="A352" s="114" t="s">
        <v>157</v>
      </c>
      <c r="B352" s="41">
        <f t="shared" si="67"/>
        <v>0</v>
      </c>
      <c r="C352" s="132">
        <f t="shared" si="68"/>
        <v>0</v>
      </c>
      <c r="D352" s="42">
        <f t="shared" si="69"/>
        <v>0</v>
      </c>
    </row>
    <row r="353" spans="1:8" ht="24" customHeight="1" thickBot="1" x14ac:dyDescent="0.35">
      <c r="A353" s="111" t="s">
        <v>161</v>
      </c>
      <c r="B353" s="43">
        <f t="shared" si="67"/>
        <v>0</v>
      </c>
      <c r="C353" s="133">
        <f t="shared" si="68"/>
        <v>0</v>
      </c>
      <c r="D353" s="44">
        <f t="shared" si="69"/>
        <v>0</v>
      </c>
      <c r="H353" s="162"/>
    </row>
    <row r="355" spans="1:8" ht="24" customHeight="1" x14ac:dyDescent="0.3">
      <c r="A355" s="404" t="s">
        <v>55</v>
      </c>
      <c r="B355" s="404"/>
      <c r="C355" s="404"/>
      <c r="D355" s="404"/>
      <c r="E355" s="404"/>
      <c r="F355" s="404"/>
      <c r="G355" s="404"/>
      <c r="H355" s="404"/>
    </row>
    <row r="356" spans="1:8" ht="24" customHeight="1" thickBot="1" x14ac:dyDescent="0.35"/>
    <row r="357" spans="1:8" ht="24" customHeight="1" thickBot="1" x14ac:dyDescent="0.35">
      <c r="A357" s="397" t="s">
        <v>55</v>
      </c>
      <c r="B357" s="398"/>
      <c r="C357" s="398"/>
      <c r="D357" s="398"/>
      <c r="E357" s="399"/>
    </row>
    <row r="358" spans="1:8" ht="24" customHeight="1" thickBot="1" x14ac:dyDescent="0.35">
      <c r="A358" s="23" t="s">
        <v>3</v>
      </c>
      <c r="B358" s="24" t="s">
        <v>79</v>
      </c>
      <c r="C358" s="24" t="s">
        <v>80</v>
      </c>
      <c r="D358" s="24" t="s">
        <v>81</v>
      </c>
      <c r="E358" s="25" t="s">
        <v>16</v>
      </c>
    </row>
    <row r="359" spans="1:8" ht="24" customHeight="1" x14ac:dyDescent="0.3">
      <c r="A359" s="112" t="s">
        <v>155</v>
      </c>
      <c r="B359" s="97">
        <f t="shared" ref="B359:B364" si="70">D297</f>
        <v>0</v>
      </c>
      <c r="C359" s="97">
        <f t="shared" ref="C359:C364" si="71">D327</f>
        <v>0</v>
      </c>
      <c r="D359" s="98">
        <f>D348</f>
        <v>0</v>
      </c>
      <c r="E359" s="99">
        <f t="shared" ref="E359:E364" si="72">SUM(B359:D359)</f>
        <v>0</v>
      </c>
    </row>
    <row r="360" spans="1:8" ht="24" customHeight="1" x14ac:dyDescent="0.3">
      <c r="A360" s="114" t="s">
        <v>158</v>
      </c>
      <c r="B360" s="100">
        <f t="shared" si="70"/>
        <v>0</v>
      </c>
      <c r="C360" s="100">
        <f t="shared" si="71"/>
        <v>0</v>
      </c>
      <c r="D360" s="101">
        <f t="shared" ref="D360:D364" si="73">D349</f>
        <v>0</v>
      </c>
      <c r="E360" s="102">
        <f t="shared" si="72"/>
        <v>0</v>
      </c>
    </row>
    <row r="361" spans="1:8" ht="24" customHeight="1" thickBot="1" x14ac:dyDescent="0.35">
      <c r="A361" s="123" t="s">
        <v>160</v>
      </c>
      <c r="B361" s="151">
        <f t="shared" si="70"/>
        <v>0</v>
      </c>
      <c r="C361" s="151">
        <f t="shared" si="71"/>
        <v>0</v>
      </c>
      <c r="D361" s="152">
        <f t="shared" si="73"/>
        <v>0</v>
      </c>
      <c r="E361" s="153">
        <f t="shared" si="72"/>
        <v>0</v>
      </c>
    </row>
    <row r="362" spans="1:8" ht="24" customHeight="1" x14ac:dyDescent="0.3">
      <c r="A362" s="112" t="s">
        <v>156</v>
      </c>
      <c r="B362" s="97">
        <f t="shared" si="70"/>
        <v>0</v>
      </c>
      <c r="C362" s="97">
        <f t="shared" si="71"/>
        <v>0</v>
      </c>
      <c r="D362" s="98">
        <f t="shared" si="73"/>
        <v>0</v>
      </c>
      <c r="E362" s="99">
        <f t="shared" si="72"/>
        <v>0</v>
      </c>
    </row>
    <row r="363" spans="1:8" ht="24" customHeight="1" x14ac:dyDescent="0.3">
      <c r="A363" s="114" t="s">
        <v>157</v>
      </c>
      <c r="B363" s="100">
        <f t="shared" si="70"/>
        <v>0</v>
      </c>
      <c r="C363" s="100">
        <f t="shared" si="71"/>
        <v>0</v>
      </c>
      <c r="D363" s="101">
        <f t="shared" si="73"/>
        <v>0</v>
      </c>
      <c r="E363" s="102">
        <f t="shared" si="72"/>
        <v>0</v>
      </c>
    </row>
    <row r="364" spans="1:8" ht="24" customHeight="1" thickBot="1" x14ac:dyDescent="0.35">
      <c r="A364" s="111" t="s">
        <v>161</v>
      </c>
      <c r="B364" s="103">
        <f t="shared" si="70"/>
        <v>0</v>
      </c>
      <c r="C364" s="103">
        <f t="shared" si="71"/>
        <v>0</v>
      </c>
      <c r="D364" s="104">
        <f t="shared" si="73"/>
        <v>0</v>
      </c>
      <c r="E364" s="105">
        <f t="shared" si="72"/>
        <v>0</v>
      </c>
      <c r="H364" s="162"/>
    </row>
    <row r="366" spans="1:8" ht="24" customHeight="1" x14ac:dyDescent="0.3">
      <c r="A366" s="404" t="s">
        <v>83</v>
      </c>
      <c r="B366" s="404"/>
      <c r="C366" s="404"/>
      <c r="D366" s="404"/>
      <c r="E366" s="404"/>
      <c r="F366" s="404"/>
      <c r="G366" s="404"/>
      <c r="H366" s="404"/>
    </row>
    <row r="367" spans="1:8" ht="144" customHeight="1" x14ac:dyDescent="0.3">
      <c r="A367" s="403" t="s">
        <v>274</v>
      </c>
      <c r="B367" s="403"/>
      <c r="C367" s="403"/>
      <c r="D367" s="403"/>
      <c r="E367" s="403"/>
      <c r="F367" s="403"/>
      <c r="G367" s="403"/>
      <c r="H367" s="403"/>
    </row>
    <row r="368" spans="1:8" ht="24" customHeight="1" thickBot="1" x14ac:dyDescent="0.35"/>
    <row r="369" spans="1:7" ht="24" customHeight="1" thickBot="1" x14ac:dyDescent="0.35">
      <c r="A369" s="416" t="s">
        <v>165</v>
      </c>
      <c r="B369" s="417"/>
      <c r="C369" s="417"/>
      <c r="D369" s="417"/>
      <c r="E369" s="417"/>
      <c r="F369" s="417"/>
      <c r="G369" s="418"/>
    </row>
    <row r="370" spans="1:7" ht="16.2" thickBot="1" x14ac:dyDescent="0.35">
      <c r="A370" s="416" t="s">
        <v>87</v>
      </c>
      <c r="B370" s="417"/>
      <c r="C370" s="417"/>
      <c r="D370" s="417"/>
      <c r="E370" s="417"/>
      <c r="F370" s="417"/>
      <c r="G370" s="418"/>
    </row>
    <row r="371" spans="1:7" ht="24" customHeight="1" thickBot="1" x14ac:dyDescent="0.35">
      <c r="A371" s="423" t="s">
        <v>3</v>
      </c>
      <c r="B371" s="423" t="s">
        <v>88</v>
      </c>
      <c r="C371" s="423" t="s">
        <v>89</v>
      </c>
      <c r="D371" s="164" t="s">
        <v>90</v>
      </c>
      <c r="E371" s="165"/>
      <c r="F371" s="164" t="s">
        <v>91</v>
      </c>
      <c r="G371" s="165"/>
    </row>
    <row r="372" spans="1:7" ht="31.5" customHeight="1" thickBot="1" x14ac:dyDescent="0.35">
      <c r="A372" s="424"/>
      <c r="B372" s="424"/>
      <c r="C372" s="424"/>
      <c r="D372" s="75" t="s">
        <v>92</v>
      </c>
      <c r="E372" s="75" t="s">
        <v>93</v>
      </c>
      <c r="F372" s="75" t="s">
        <v>92</v>
      </c>
      <c r="G372" s="75" t="s">
        <v>93</v>
      </c>
    </row>
    <row r="373" spans="1:7" ht="24" customHeight="1" x14ac:dyDescent="0.3">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3">
      <c r="A374" s="34" t="s">
        <v>94</v>
      </c>
      <c r="B374" s="95"/>
      <c r="C374" s="61">
        <v>1</v>
      </c>
      <c r="D374" s="62">
        <v>1</v>
      </c>
      <c r="E374" s="63">
        <f t="shared" si="74"/>
        <v>0</v>
      </c>
      <c r="F374" s="64">
        <v>1</v>
      </c>
      <c r="G374" s="63">
        <f t="shared" si="75"/>
        <v>0</v>
      </c>
    </row>
    <row r="375" spans="1:7" ht="24" customHeight="1" x14ac:dyDescent="0.3">
      <c r="A375" s="34" t="s">
        <v>95</v>
      </c>
      <c r="B375" s="95"/>
      <c r="C375" s="61">
        <v>15</v>
      </c>
      <c r="D375" s="62">
        <v>0.5</v>
      </c>
      <c r="E375" s="63">
        <f t="shared" si="74"/>
        <v>0</v>
      </c>
      <c r="F375" s="64">
        <f>(252/365)</f>
        <v>0.69041095890410964</v>
      </c>
      <c r="G375" s="63">
        <f t="shared" si="75"/>
        <v>0</v>
      </c>
    </row>
    <row r="376" spans="1:7" ht="24" customHeight="1" x14ac:dyDescent="0.3">
      <c r="A376" s="34" t="s">
        <v>96</v>
      </c>
      <c r="B376" s="95"/>
      <c r="C376" s="61">
        <v>5</v>
      </c>
      <c r="D376" s="62">
        <v>0.5</v>
      </c>
      <c r="E376" s="63">
        <f t="shared" si="74"/>
        <v>0</v>
      </c>
      <c r="F376" s="64">
        <f>(252/365)</f>
        <v>0.69041095890410964</v>
      </c>
      <c r="G376" s="63">
        <f t="shared" si="75"/>
        <v>0</v>
      </c>
    </row>
    <row r="377" spans="1:7" ht="24" customHeight="1" x14ac:dyDescent="0.3">
      <c r="A377" s="34" t="s">
        <v>97</v>
      </c>
      <c r="B377" s="95"/>
      <c r="C377" s="61">
        <v>2</v>
      </c>
      <c r="D377" s="62">
        <v>1</v>
      </c>
      <c r="E377" s="63">
        <f t="shared" si="74"/>
        <v>0</v>
      </c>
      <c r="F377" s="64">
        <v>1</v>
      </c>
      <c r="G377" s="63">
        <f t="shared" si="75"/>
        <v>0</v>
      </c>
    </row>
    <row r="378" spans="1:7" ht="24" customHeight="1" x14ac:dyDescent="0.3">
      <c r="A378" s="34" t="s">
        <v>98</v>
      </c>
      <c r="B378" s="95"/>
      <c r="C378" s="61">
        <v>2</v>
      </c>
      <c r="D378" s="62">
        <v>0.5</v>
      </c>
      <c r="E378" s="63">
        <f t="shared" si="74"/>
        <v>0</v>
      </c>
      <c r="F378" s="64">
        <f>(252/365)</f>
        <v>0.69041095890410964</v>
      </c>
      <c r="G378" s="63">
        <f t="shared" si="75"/>
        <v>0</v>
      </c>
    </row>
    <row r="379" spans="1:7" ht="24" customHeight="1" x14ac:dyDescent="0.3">
      <c r="A379" s="34" t="s">
        <v>99</v>
      </c>
      <c r="B379" s="95"/>
      <c r="C379" s="61">
        <v>3</v>
      </c>
      <c r="D379" s="62">
        <v>0.5</v>
      </c>
      <c r="E379" s="63">
        <f t="shared" si="74"/>
        <v>0</v>
      </c>
      <c r="F379" s="64">
        <v>1</v>
      </c>
      <c r="G379" s="63">
        <f t="shared" si="75"/>
        <v>0</v>
      </c>
    </row>
    <row r="380" spans="1:7" ht="24" customHeight="1" x14ac:dyDescent="0.3">
      <c r="A380" s="34" t="s">
        <v>100</v>
      </c>
      <c r="B380" s="95"/>
      <c r="C380" s="61">
        <v>1</v>
      </c>
      <c r="D380" s="62">
        <v>1</v>
      </c>
      <c r="E380" s="63">
        <f t="shared" si="74"/>
        <v>0</v>
      </c>
      <c r="F380" s="64">
        <v>1</v>
      </c>
      <c r="G380" s="63">
        <f t="shared" si="75"/>
        <v>0</v>
      </c>
    </row>
    <row r="381" spans="1:7" ht="24" customHeight="1" x14ac:dyDescent="0.3">
      <c r="A381" s="34" t="s">
        <v>101</v>
      </c>
      <c r="B381" s="95"/>
      <c r="C381" s="61">
        <v>1</v>
      </c>
      <c r="D381" s="62">
        <v>1</v>
      </c>
      <c r="E381" s="63">
        <f t="shared" si="74"/>
        <v>0</v>
      </c>
      <c r="F381" s="64">
        <v>1</v>
      </c>
      <c r="G381" s="63">
        <f t="shared" si="75"/>
        <v>0</v>
      </c>
    </row>
    <row r="382" spans="1:7" ht="24" customHeight="1" x14ac:dyDescent="0.3">
      <c r="A382" s="34" t="s">
        <v>102</v>
      </c>
      <c r="B382" s="95"/>
      <c r="C382" s="61">
        <v>20</v>
      </c>
      <c r="D382" s="62">
        <v>0.5</v>
      </c>
      <c r="E382" s="63">
        <f t="shared" si="74"/>
        <v>0</v>
      </c>
      <c r="F382" s="64">
        <f>(252/365)</f>
        <v>0.69041095890410964</v>
      </c>
      <c r="G382" s="63">
        <f t="shared" si="75"/>
        <v>0</v>
      </c>
    </row>
    <row r="383" spans="1:7" ht="24" customHeight="1" x14ac:dyDescent="0.3">
      <c r="A383" s="34" t="s">
        <v>103</v>
      </c>
      <c r="B383" s="95"/>
      <c r="C383" s="61">
        <v>180</v>
      </c>
      <c r="D383" s="62">
        <v>0.5</v>
      </c>
      <c r="E383" s="63">
        <f t="shared" si="74"/>
        <v>0</v>
      </c>
      <c r="F383" s="64">
        <f>(252/365)</f>
        <v>0.69041095890410964</v>
      </c>
      <c r="G383" s="63">
        <f t="shared" si="75"/>
        <v>0</v>
      </c>
    </row>
    <row r="384" spans="1:7" ht="24" customHeight="1" thickBot="1" x14ac:dyDescent="0.35">
      <c r="A384" s="65" t="s">
        <v>104</v>
      </c>
      <c r="B384" s="96"/>
      <c r="C384" s="66">
        <v>6</v>
      </c>
      <c r="D384" s="67">
        <v>1</v>
      </c>
      <c r="E384" s="68">
        <f t="shared" si="74"/>
        <v>0</v>
      </c>
      <c r="F384" s="69">
        <v>1</v>
      </c>
      <c r="G384" s="68">
        <f t="shared" si="75"/>
        <v>0</v>
      </c>
    </row>
    <row r="385" spans="1:4" ht="24" customHeight="1" thickBot="1" x14ac:dyDescent="0.35"/>
    <row r="386" spans="1:4" ht="24" customHeight="1" thickBot="1" x14ac:dyDescent="0.35">
      <c r="A386" s="409" t="s">
        <v>110</v>
      </c>
      <c r="B386" s="419"/>
      <c r="C386" s="419"/>
      <c r="D386" s="420"/>
    </row>
    <row r="387" spans="1:4" ht="24" customHeight="1" thickBot="1" x14ac:dyDescent="0.35">
      <c r="A387" s="421" t="s">
        <v>105</v>
      </c>
      <c r="B387" s="409" t="s">
        <v>151</v>
      </c>
      <c r="C387" s="419"/>
      <c r="D387" s="420"/>
    </row>
    <row r="388" spans="1:4" ht="26.25" customHeight="1" thickBot="1" x14ac:dyDescent="0.35">
      <c r="A388" s="422"/>
      <c r="B388" s="77" t="s">
        <v>106</v>
      </c>
      <c r="C388" s="76" t="s">
        <v>107</v>
      </c>
      <c r="D388" s="78" t="s">
        <v>108</v>
      </c>
    </row>
    <row r="389" spans="1:4" ht="24" customHeight="1" x14ac:dyDescent="0.3">
      <c r="A389" s="54" t="s">
        <v>20</v>
      </c>
      <c r="B389" s="55">
        <f t="shared" ref="B389:B400" si="76">E373</f>
        <v>0</v>
      </c>
      <c r="C389" s="55">
        <f t="shared" ref="C389:C400" si="77">E373</f>
        <v>0</v>
      </c>
      <c r="D389" s="70">
        <f t="shared" ref="D389:D400" si="78">G373</f>
        <v>0</v>
      </c>
    </row>
    <row r="390" spans="1:4" ht="24" customHeight="1" x14ac:dyDescent="0.3">
      <c r="A390" s="34" t="s">
        <v>94</v>
      </c>
      <c r="B390" s="60">
        <f t="shared" si="76"/>
        <v>0</v>
      </c>
      <c r="C390" s="60">
        <f t="shared" si="77"/>
        <v>0</v>
      </c>
      <c r="D390" s="71">
        <f t="shared" si="78"/>
        <v>0</v>
      </c>
    </row>
    <row r="391" spans="1:4" ht="24" customHeight="1" x14ac:dyDescent="0.3">
      <c r="A391" s="34" t="s">
        <v>95</v>
      </c>
      <c r="B391" s="60">
        <f t="shared" si="76"/>
        <v>0</v>
      </c>
      <c r="C391" s="60">
        <f t="shared" si="77"/>
        <v>0</v>
      </c>
      <c r="D391" s="71">
        <f t="shared" si="78"/>
        <v>0</v>
      </c>
    </row>
    <row r="392" spans="1:4" ht="24" customHeight="1" x14ac:dyDescent="0.3">
      <c r="A392" s="34" t="s">
        <v>96</v>
      </c>
      <c r="B392" s="60">
        <f t="shared" si="76"/>
        <v>0</v>
      </c>
      <c r="C392" s="60">
        <f t="shared" si="77"/>
        <v>0</v>
      </c>
      <c r="D392" s="71">
        <f t="shared" si="78"/>
        <v>0</v>
      </c>
    </row>
    <row r="393" spans="1:4" ht="24" customHeight="1" x14ac:dyDescent="0.3">
      <c r="A393" s="34" t="s">
        <v>97</v>
      </c>
      <c r="B393" s="60">
        <f t="shared" si="76"/>
        <v>0</v>
      </c>
      <c r="C393" s="60">
        <f t="shared" si="77"/>
        <v>0</v>
      </c>
      <c r="D393" s="71">
        <f t="shared" si="78"/>
        <v>0</v>
      </c>
    </row>
    <row r="394" spans="1:4" ht="24" customHeight="1" x14ac:dyDescent="0.3">
      <c r="A394" s="34" t="s">
        <v>98</v>
      </c>
      <c r="B394" s="60">
        <f t="shared" si="76"/>
        <v>0</v>
      </c>
      <c r="C394" s="60">
        <f t="shared" si="77"/>
        <v>0</v>
      </c>
      <c r="D394" s="71">
        <f t="shared" si="78"/>
        <v>0</v>
      </c>
    </row>
    <row r="395" spans="1:4" ht="24" customHeight="1" x14ac:dyDescent="0.3">
      <c r="A395" s="34" t="s">
        <v>99</v>
      </c>
      <c r="B395" s="60">
        <f t="shared" si="76"/>
        <v>0</v>
      </c>
      <c r="C395" s="60">
        <f t="shared" si="77"/>
        <v>0</v>
      </c>
      <c r="D395" s="71">
        <f t="shared" si="78"/>
        <v>0</v>
      </c>
    </row>
    <row r="396" spans="1:4" ht="24" customHeight="1" x14ac:dyDescent="0.3">
      <c r="A396" s="34" t="s">
        <v>100</v>
      </c>
      <c r="B396" s="60">
        <f t="shared" si="76"/>
        <v>0</v>
      </c>
      <c r="C396" s="60">
        <f t="shared" si="77"/>
        <v>0</v>
      </c>
      <c r="D396" s="71">
        <f t="shared" si="78"/>
        <v>0</v>
      </c>
    </row>
    <row r="397" spans="1:4" ht="24" customHeight="1" x14ac:dyDescent="0.3">
      <c r="A397" s="34" t="s">
        <v>101</v>
      </c>
      <c r="B397" s="60">
        <f t="shared" si="76"/>
        <v>0</v>
      </c>
      <c r="C397" s="60">
        <f t="shared" si="77"/>
        <v>0</v>
      </c>
      <c r="D397" s="71">
        <f t="shared" si="78"/>
        <v>0</v>
      </c>
    </row>
    <row r="398" spans="1:4" ht="24" customHeight="1" x14ac:dyDescent="0.3">
      <c r="A398" s="34" t="s">
        <v>102</v>
      </c>
      <c r="B398" s="60">
        <f t="shared" si="76"/>
        <v>0</v>
      </c>
      <c r="C398" s="60">
        <f t="shared" si="77"/>
        <v>0</v>
      </c>
      <c r="D398" s="71">
        <f t="shared" si="78"/>
        <v>0</v>
      </c>
    </row>
    <row r="399" spans="1:4" ht="24" customHeight="1" x14ac:dyDescent="0.3">
      <c r="A399" s="34" t="s">
        <v>103</v>
      </c>
      <c r="B399" s="60">
        <f t="shared" si="76"/>
        <v>0</v>
      </c>
      <c r="C399" s="60">
        <f t="shared" si="77"/>
        <v>0</v>
      </c>
      <c r="D399" s="71">
        <f t="shared" si="78"/>
        <v>0</v>
      </c>
    </row>
    <row r="400" spans="1:4" ht="24" customHeight="1" thickBot="1" x14ac:dyDescent="0.35">
      <c r="A400" s="35" t="s">
        <v>104</v>
      </c>
      <c r="B400" s="72">
        <f t="shared" si="76"/>
        <v>0</v>
      </c>
      <c r="C400" s="72">
        <f t="shared" si="77"/>
        <v>0</v>
      </c>
      <c r="D400" s="73">
        <f t="shared" si="78"/>
        <v>0</v>
      </c>
    </row>
    <row r="401" spans="1:8" ht="24" customHeight="1" thickBot="1" x14ac:dyDescent="0.35">
      <c r="A401" s="77" t="s">
        <v>109</v>
      </c>
      <c r="B401" s="79">
        <f>SUM(B389:B400)</f>
        <v>0</v>
      </c>
      <c r="C401" s="79">
        <f>SUM(C389:C400)</f>
        <v>0</v>
      </c>
      <c r="D401" s="80">
        <f>SUM(D389:D400)</f>
        <v>0</v>
      </c>
      <c r="H401" s="162"/>
    </row>
    <row r="403" spans="1:8" ht="24" customHeight="1" x14ac:dyDescent="0.3">
      <c r="A403" s="407" t="s">
        <v>114</v>
      </c>
      <c r="B403" s="408"/>
      <c r="C403" s="408"/>
      <c r="D403" s="408"/>
      <c r="E403" s="408"/>
      <c r="F403" s="408"/>
      <c r="G403" s="408"/>
      <c r="H403" s="408"/>
    </row>
    <row r="404" spans="1:8" ht="78" customHeight="1" x14ac:dyDescent="0.3">
      <c r="A404" s="403" t="s">
        <v>292</v>
      </c>
      <c r="B404" s="403"/>
      <c r="C404" s="403"/>
      <c r="D404" s="403"/>
      <c r="E404" s="403"/>
      <c r="F404" s="403"/>
      <c r="G404" s="403"/>
      <c r="H404" s="403"/>
    </row>
    <row r="405" spans="1:8" ht="24" customHeight="1" thickBot="1" x14ac:dyDescent="0.35"/>
    <row r="406" spans="1:8" ht="24" customHeight="1" thickBot="1" x14ac:dyDescent="0.35">
      <c r="A406" s="400" t="s">
        <v>86</v>
      </c>
      <c r="B406" s="401"/>
      <c r="C406" s="401"/>
      <c r="D406" s="402"/>
    </row>
    <row r="407" spans="1:8" ht="24" customHeight="1" thickBot="1" x14ac:dyDescent="0.35">
      <c r="A407" s="23" t="s">
        <v>3</v>
      </c>
      <c r="B407" s="24" t="s">
        <v>1</v>
      </c>
      <c r="C407" s="24" t="s">
        <v>85</v>
      </c>
      <c r="D407" s="25" t="s">
        <v>84</v>
      </c>
    </row>
    <row r="408" spans="1:8" ht="24" customHeight="1" x14ac:dyDescent="0.3">
      <c r="A408" s="112" t="s">
        <v>155</v>
      </c>
      <c r="B408" s="120">
        <f t="shared" ref="B408:B413" si="79">G70+E255+E359</f>
        <v>0</v>
      </c>
      <c r="C408" s="30">
        <v>30</v>
      </c>
      <c r="D408" s="128">
        <f>B408/C408</f>
        <v>0</v>
      </c>
    </row>
    <row r="409" spans="1:8" ht="24" customHeight="1" x14ac:dyDescent="0.3">
      <c r="A409" s="114" t="s">
        <v>158</v>
      </c>
      <c r="B409" s="121">
        <f t="shared" si="79"/>
        <v>0</v>
      </c>
      <c r="C409" s="31">
        <f>C408</f>
        <v>30</v>
      </c>
      <c r="D409" s="129">
        <f t="shared" ref="D409:D413" si="80">B409/C409</f>
        <v>0</v>
      </c>
    </row>
    <row r="410" spans="1:8" ht="24" customHeight="1" thickBot="1" x14ac:dyDescent="0.35">
      <c r="A410" s="123" t="s">
        <v>160</v>
      </c>
      <c r="B410" s="124">
        <f t="shared" si="79"/>
        <v>0</v>
      </c>
      <c r="C410" s="89">
        <f>C409</f>
        <v>30</v>
      </c>
      <c r="D410" s="130">
        <f t="shared" si="80"/>
        <v>0</v>
      </c>
    </row>
    <row r="411" spans="1:8" ht="24" customHeight="1" x14ac:dyDescent="0.3">
      <c r="A411" s="112" t="s">
        <v>156</v>
      </c>
      <c r="B411" s="120">
        <f t="shared" si="79"/>
        <v>0</v>
      </c>
      <c r="C411" s="30">
        <f>C410</f>
        <v>30</v>
      </c>
      <c r="D411" s="128">
        <f t="shared" si="80"/>
        <v>0</v>
      </c>
    </row>
    <row r="412" spans="1:8" ht="24" customHeight="1" x14ac:dyDescent="0.3">
      <c r="A412" s="114" t="s">
        <v>157</v>
      </c>
      <c r="B412" s="121">
        <f t="shared" si="79"/>
        <v>0</v>
      </c>
      <c r="C412" s="31">
        <f>C411</f>
        <v>30</v>
      </c>
      <c r="D412" s="129">
        <f t="shared" si="80"/>
        <v>0</v>
      </c>
    </row>
    <row r="413" spans="1:8" ht="24" customHeight="1" thickBot="1" x14ac:dyDescent="0.35">
      <c r="A413" s="111" t="s">
        <v>161</v>
      </c>
      <c r="B413" s="122">
        <f t="shared" si="79"/>
        <v>0</v>
      </c>
      <c r="C413" s="32">
        <f>C412</f>
        <v>30</v>
      </c>
      <c r="D413" s="131">
        <f t="shared" si="80"/>
        <v>0</v>
      </c>
    </row>
    <row r="414" spans="1:8" ht="16.2" thickBot="1" x14ac:dyDescent="0.35"/>
    <row r="415" spans="1:8" ht="24" customHeight="1" thickBot="1" x14ac:dyDescent="0.35">
      <c r="A415" s="416" t="s">
        <v>114</v>
      </c>
      <c r="B415" s="417"/>
      <c r="C415" s="417"/>
      <c r="D415" s="417"/>
      <c r="E415" s="418"/>
    </row>
    <row r="416" spans="1:8" ht="33.75" customHeight="1" thickBot="1" x14ac:dyDescent="0.35">
      <c r="A416" s="23" t="s">
        <v>3</v>
      </c>
      <c r="B416" s="24" t="s">
        <v>84</v>
      </c>
      <c r="C416" s="26" t="s">
        <v>111</v>
      </c>
      <c r="D416" s="24" t="s">
        <v>112</v>
      </c>
      <c r="E416" s="25" t="s">
        <v>113</v>
      </c>
    </row>
    <row r="417" spans="1:8" ht="24" customHeight="1" x14ac:dyDescent="0.3">
      <c r="A417" s="112" t="s">
        <v>155</v>
      </c>
      <c r="B417" s="120">
        <f>D408</f>
        <v>0</v>
      </c>
      <c r="C417" s="83">
        <f>B401</f>
        <v>0</v>
      </c>
      <c r="D417" s="120">
        <f>B417*C417</f>
        <v>0</v>
      </c>
      <c r="E417" s="128">
        <f t="shared" ref="E417:E422" si="81">D417/12</f>
        <v>0</v>
      </c>
    </row>
    <row r="418" spans="1:8" ht="24" customHeight="1" x14ac:dyDescent="0.3">
      <c r="A418" s="114" t="s">
        <v>158</v>
      </c>
      <c r="B418" s="121">
        <f t="shared" ref="B418:B422" si="82">D409</f>
        <v>0</v>
      </c>
      <c r="C418" s="81">
        <f>C401</f>
        <v>0</v>
      </c>
      <c r="D418" s="121">
        <f t="shared" ref="D418:D422" si="83">B418*C418</f>
        <v>0</v>
      </c>
      <c r="E418" s="129">
        <f t="shared" si="81"/>
        <v>0</v>
      </c>
    </row>
    <row r="419" spans="1:8" ht="24" customHeight="1" thickBot="1" x14ac:dyDescent="0.35">
      <c r="A419" s="123" t="s">
        <v>160</v>
      </c>
      <c r="B419" s="124">
        <f t="shared" si="82"/>
        <v>0</v>
      </c>
      <c r="C419" s="154">
        <f>D401</f>
        <v>0</v>
      </c>
      <c r="D419" s="124">
        <f t="shared" si="83"/>
        <v>0</v>
      </c>
      <c r="E419" s="130">
        <f t="shared" si="81"/>
        <v>0</v>
      </c>
    </row>
    <row r="420" spans="1:8" ht="24" customHeight="1" x14ac:dyDescent="0.3">
      <c r="A420" s="112" t="s">
        <v>156</v>
      </c>
      <c r="B420" s="120">
        <f t="shared" si="82"/>
        <v>0</v>
      </c>
      <c r="C420" s="83">
        <f>B401</f>
        <v>0</v>
      </c>
      <c r="D420" s="120">
        <f t="shared" si="83"/>
        <v>0</v>
      </c>
      <c r="E420" s="128">
        <f t="shared" si="81"/>
        <v>0</v>
      </c>
    </row>
    <row r="421" spans="1:8" ht="24" customHeight="1" x14ac:dyDescent="0.3">
      <c r="A421" s="114" t="s">
        <v>157</v>
      </c>
      <c r="B421" s="121">
        <f t="shared" si="82"/>
        <v>0</v>
      </c>
      <c r="C421" s="81">
        <f>C401</f>
        <v>0</v>
      </c>
      <c r="D421" s="121">
        <f t="shared" si="83"/>
        <v>0</v>
      </c>
      <c r="E421" s="129">
        <f t="shared" si="81"/>
        <v>0</v>
      </c>
    </row>
    <row r="422" spans="1:8" ht="24" customHeight="1" thickBot="1" x14ac:dyDescent="0.35">
      <c r="A422" s="111" t="s">
        <v>161</v>
      </c>
      <c r="B422" s="122">
        <f t="shared" si="82"/>
        <v>0</v>
      </c>
      <c r="C422" s="82">
        <f>D401</f>
        <v>0</v>
      </c>
      <c r="D422" s="122">
        <f t="shared" si="83"/>
        <v>0</v>
      </c>
      <c r="E422" s="131">
        <f t="shared" si="81"/>
        <v>0</v>
      </c>
      <c r="H422" s="162"/>
    </row>
    <row r="424" spans="1:8" ht="24" customHeight="1" x14ac:dyDescent="0.3">
      <c r="A424" s="407" t="s">
        <v>115</v>
      </c>
      <c r="B424" s="408"/>
      <c r="C424" s="408"/>
      <c r="D424" s="408"/>
      <c r="E424" s="408"/>
      <c r="F424" s="408"/>
      <c r="G424" s="408"/>
      <c r="H424" s="408"/>
    </row>
    <row r="425" spans="1:8" ht="119.25" customHeight="1" x14ac:dyDescent="0.3">
      <c r="A425" s="403" t="s">
        <v>281</v>
      </c>
      <c r="B425" s="403"/>
      <c r="C425" s="403"/>
      <c r="D425" s="403"/>
      <c r="E425" s="403"/>
      <c r="F425" s="403"/>
      <c r="G425" s="403"/>
      <c r="H425" s="403"/>
    </row>
    <row r="426" spans="1:8" ht="22.5" customHeight="1" thickBot="1" x14ac:dyDescent="0.35"/>
    <row r="427" spans="1:8" ht="22.5" customHeight="1" thickBot="1" x14ac:dyDescent="0.35">
      <c r="A427" s="400" t="s">
        <v>117</v>
      </c>
      <c r="B427" s="401"/>
      <c r="C427" s="401"/>
      <c r="D427" s="402"/>
    </row>
    <row r="428" spans="1:8" ht="22.5" customHeight="1" thickBot="1" x14ac:dyDescent="0.35">
      <c r="A428" s="23" t="s">
        <v>3</v>
      </c>
      <c r="B428" s="24" t="s">
        <v>1</v>
      </c>
      <c r="C428" s="24" t="s">
        <v>116</v>
      </c>
      <c r="D428" s="25" t="s">
        <v>4</v>
      </c>
    </row>
    <row r="429" spans="1:8" ht="22.5" customHeight="1" x14ac:dyDescent="0.3">
      <c r="A429" s="112" t="s">
        <v>155</v>
      </c>
      <c r="B429" s="120">
        <f>G70+E255+E359</f>
        <v>0</v>
      </c>
      <c r="C429" s="113">
        <v>220</v>
      </c>
      <c r="D429" s="128">
        <f>B429/C429</f>
        <v>0</v>
      </c>
    </row>
    <row r="430" spans="1:8" ht="24" customHeight="1" x14ac:dyDescent="0.3">
      <c r="A430" s="114" t="s">
        <v>158</v>
      </c>
      <c r="B430" s="121">
        <f>G71+E256+E360</f>
        <v>0</v>
      </c>
      <c r="C430" s="115">
        <f>C429</f>
        <v>220</v>
      </c>
      <c r="D430" s="129">
        <f t="shared" ref="D430:D431" si="84">B430/C430</f>
        <v>0</v>
      </c>
    </row>
    <row r="431" spans="1:8" ht="24" customHeight="1" thickBot="1" x14ac:dyDescent="0.35">
      <c r="A431" s="111" t="s">
        <v>160</v>
      </c>
      <c r="B431" s="122">
        <f>G72+E257+E361</f>
        <v>0</v>
      </c>
      <c r="C431" s="116">
        <f>C430</f>
        <v>220</v>
      </c>
      <c r="D431" s="131">
        <f t="shared" si="84"/>
        <v>0</v>
      </c>
    </row>
    <row r="432" spans="1:8" ht="16.2" thickBot="1" x14ac:dyDescent="0.35"/>
    <row r="433" spans="1:8" ht="24" customHeight="1" thickBot="1" x14ac:dyDescent="0.35">
      <c r="A433" s="410" t="s">
        <v>115</v>
      </c>
      <c r="B433" s="411"/>
      <c r="C433" s="411"/>
      <c r="D433" s="412"/>
    </row>
    <row r="434" spans="1:8" ht="30" customHeight="1" thickBot="1" x14ac:dyDescent="0.35">
      <c r="A434" s="47" t="s">
        <v>3</v>
      </c>
      <c r="B434" s="48" t="s">
        <v>118</v>
      </c>
      <c r="C434" s="76" t="s">
        <v>119</v>
      </c>
      <c r="D434" s="49" t="s">
        <v>4</v>
      </c>
    </row>
    <row r="435" spans="1:8" ht="24" customHeight="1" x14ac:dyDescent="0.3">
      <c r="A435" s="112" t="s">
        <v>155</v>
      </c>
      <c r="B435" s="120">
        <f>D429</f>
        <v>0</v>
      </c>
      <c r="C435" s="113">
        <v>15</v>
      </c>
      <c r="D435" s="128">
        <f>B435*C435</f>
        <v>0</v>
      </c>
    </row>
    <row r="436" spans="1:8" ht="24" customHeight="1" x14ac:dyDescent="0.3">
      <c r="A436" s="114" t="s">
        <v>158</v>
      </c>
      <c r="B436" s="121">
        <f t="shared" ref="B436:B437" si="85">D430</f>
        <v>0</v>
      </c>
      <c r="C436" s="115">
        <v>15</v>
      </c>
      <c r="D436" s="129">
        <f t="shared" ref="D436:D437" si="86">B436*C436</f>
        <v>0</v>
      </c>
    </row>
    <row r="437" spans="1:8" ht="24" customHeight="1" thickBot="1" x14ac:dyDescent="0.35">
      <c r="A437" s="111" t="s">
        <v>160</v>
      </c>
      <c r="B437" s="122">
        <f t="shared" si="85"/>
        <v>0</v>
      </c>
      <c r="C437" s="116">
        <v>22</v>
      </c>
      <c r="D437" s="131">
        <f t="shared" si="86"/>
        <v>0</v>
      </c>
      <c r="H437" s="162"/>
    </row>
    <row r="439" spans="1:8" ht="24" customHeight="1" x14ac:dyDescent="0.3">
      <c r="A439" s="404" t="s">
        <v>83</v>
      </c>
      <c r="B439" s="404"/>
      <c r="C439" s="404"/>
      <c r="D439" s="404"/>
      <c r="E439" s="404"/>
      <c r="F439" s="404"/>
      <c r="G439" s="404"/>
      <c r="H439" s="404"/>
    </row>
    <row r="440" spans="1:8" ht="24" customHeight="1" thickBot="1" x14ac:dyDescent="0.35"/>
    <row r="441" spans="1:8" ht="24" customHeight="1" thickBot="1" x14ac:dyDescent="0.35">
      <c r="A441" s="400" t="s">
        <v>83</v>
      </c>
      <c r="B441" s="401"/>
      <c r="C441" s="401"/>
      <c r="D441" s="402"/>
    </row>
    <row r="442" spans="1:8" ht="24" customHeight="1" thickBot="1" x14ac:dyDescent="0.35">
      <c r="A442" s="23" t="s">
        <v>3</v>
      </c>
      <c r="B442" s="24" t="s">
        <v>120</v>
      </c>
      <c r="C442" s="24" t="s">
        <v>121</v>
      </c>
      <c r="D442" s="25" t="s">
        <v>16</v>
      </c>
    </row>
    <row r="443" spans="1:8" ht="24" customHeight="1" x14ac:dyDescent="0.3">
      <c r="A443" s="112" t="s">
        <v>155</v>
      </c>
      <c r="B443" s="120">
        <f t="shared" ref="B443:B448" si="87">E417</f>
        <v>0</v>
      </c>
      <c r="C443" s="120">
        <f>D435</f>
        <v>0</v>
      </c>
      <c r="D443" s="128">
        <f>B443+C443</f>
        <v>0</v>
      </c>
    </row>
    <row r="444" spans="1:8" ht="24" customHeight="1" x14ac:dyDescent="0.3">
      <c r="A444" s="114" t="s">
        <v>158</v>
      </c>
      <c r="B444" s="121">
        <f t="shared" si="87"/>
        <v>0</v>
      </c>
      <c r="C444" s="121">
        <f t="shared" ref="C444:C445" si="88">D436</f>
        <v>0</v>
      </c>
      <c r="D444" s="129">
        <f t="shared" ref="D444:D448" si="89">B444+C444</f>
        <v>0</v>
      </c>
    </row>
    <row r="445" spans="1:8" ht="24" customHeight="1" thickBot="1" x14ac:dyDescent="0.35">
      <c r="A445" s="123" t="s">
        <v>160</v>
      </c>
      <c r="B445" s="124">
        <f t="shared" si="87"/>
        <v>0</v>
      </c>
      <c r="C445" s="124">
        <f t="shared" si="88"/>
        <v>0</v>
      </c>
      <c r="D445" s="130">
        <f t="shared" si="89"/>
        <v>0</v>
      </c>
    </row>
    <row r="446" spans="1:8" ht="24" customHeight="1" x14ac:dyDescent="0.3">
      <c r="A446" s="112" t="s">
        <v>156</v>
      </c>
      <c r="B446" s="120">
        <f t="shared" si="87"/>
        <v>0</v>
      </c>
      <c r="C446" s="113"/>
      <c r="D446" s="128">
        <f t="shared" si="89"/>
        <v>0</v>
      </c>
    </row>
    <row r="447" spans="1:8" ht="24" customHeight="1" x14ac:dyDescent="0.3">
      <c r="A447" s="114" t="s">
        <v>157</v>
      </c>
      <c r="B447" s="121">
        <f t="shared" si="87"/>
        <v>0</v>
      </c>
      <c r="C447" s="115"/>
      <c r="D447" s="129">
        <f t="shared" si="89"/>
        <v>0</v>
      </c>
    </row>
    <row r="448" spans="1:8" ht="24" customHeight="1" thickBot="1" x14ac:dyDescent="0.35">
      <c r="A448" s="111" t="s">
        <v>161</v>
      </c>
      <c r="B448" s="122">
        <f t="shared" si="87"/>
        <v>0</v>
      </c>
      <c r="C448" s="116"/>
      <c r="D448" s="131">
        <f t="shared" si="89"/>
        <v>0</v>
      </c>
    </row>
    <row r="450" spans="1:8" ht="24" customHeight="1" x14ac:dyDescent="0.3">
      <c r="A450" s="404" t="s">
        <v>122</v>
      </c>
      <c r="B450" s="404"/>
      <c r="C450" s="404"/>
      <c r="D450" s="404"/>
      <c r="E450" s="404"/>
      <c r="F450" s="404"/>
      <c r="G450" s="404"/>
      <c r="H450" s="404"/>
    </row>
    <row r="451" spans="1:8" ht="24" customHeight="1" thickBot="1" x14ac:dyDescent="0.35">
      <c r="A451" s="166"/>
      <c r="B451" s="166"/>
      <c r="C451" s="166"/>
      <c r="E451" s="166"/>
    </row>
    <row r="452" spans="1:8" ht="24" customHeight="1" thickBot="1" x14ac:dyDescent="0.35">
      <c r="A452" s="432" t="s">
        <v>172</v>
      </c>
      <c r="B452" s="433"/>
      <c r="C452" s="433"/>
      <c r="D452" s="434"/>
      <c r="E452" s="182"/>
    </row>
    <row r="453" spans="1:8" ht="24" customHeight="1" thickBot="1" x14ac:dyDescent="0.35">
      <c r="A453" s="183" t="s">
        <v>173</v>
      </c>
      <c r="B453" s="184" t="s">
        <v>174</v>
      </c>
      <c r="C453" s="184" t="s">
        <v>175</v>
      </c>
      <c r="D453" s="278" t="s">
        <v>4</v>
      </c>
    </row>
    <row r="454" spans="1:8" ht="24" customHeight="1" x14ac:dyDescent="0.3">
      <c r="A454" s="185" t="s">
        <v>176</v>
      </c>
      <c r="B454" s="186"/>
      <c r="C454" s="187"/>
      <c r="D454" s="188"/>
    </row>
    <row r="455" spans="1:8" ht="24" customHeight="1" x14ac:dyDescent="0.3">
      <c r="A455" s="189" t="s">
        <v>177</v>
      </c>
      <c r="B455" s="190"/>
      <c r="C455" s="191"/>
      <c r="D455" s="192"/>
    </row>
    <row r="456" spans="1:8" ht="24" customHeight="1" x14ac:dyDescent="0.3">
      <c r="A456" s="189" t="s">
        <v>178</v>
      </c>
      <c r="B456" s="190"/>
      <c r="C456" s="191"/>
      <c r="D456" s="192"/>
    </row>
    <row r="457" spans="1:8" ht="24" customHeight="1" x14ac:dyDescent="0.3">
      <c r="A457" s="189" t="s">
        <v>282</v>
      </c>
      <c r="B457" s="190"/>
      <c r="C457" s="191"/>
      <c r="D457" s="192"/>
    </row>
    <row r="458" spans="1:8" ht="24" customHeight="1" x14ac:dyDescent="0.3">
      <c r="A458" s="189"/>
      <c r="B458" s="190"/>
      <c r="C458" s="191"/>
      <c r="D458" s="192"/>
    </row>
    <row r="459" spans="1:8" ht="24" customHeight="1" x14ac:dyDescent="0.3">
      <c r="A459" s="189"/>
      <c r="B459" s="190"/>
      <c r="C459" s="191"/>
      <c r="D459" s="192"/>
    </row>
    <row r="460" spans="1:8" ht="24" customHeight="1" x14ac:dyDescent="0.3">
      <c r="A460" s="189"/>
      <c r="B460" s="190"/>
      <c r="C460" s="191"/>
      <c r="D460" s="192"/>
    </row>
    <row r="461" spans="1:8" ht="24" customHeight="1" x14ac:dyDescent="0.3">
      <c r="A461" s="189"/>
      <c r="B461" s="190"/>
      <c r="C461" s="191"/>
      <c r="D461" s="192"/>
    </row>
    <row r="462" spans="1:8" ht="24" customHeight="1" thickBot="1" x14ac:dyDescent="0.35">
      <c r="A462" s="193"/>
      <c r="B462" s="194"/>
      <c r="C462" s="195"/>
      <c r="D462" s="196"/>
    </row>
    <row r="463" spans="1:8" ht="24" customHeight="1" thickBot="1" x14ac:dyDescent="0.35">
      <c r="A463" s="432" t="s">
        <v>179</v>
      </c>
      <c r="B463" s="433"/>
      <c r="C463" s="434"/>
      <c r="D463" s="197"/>
    </row>
    <row r="464" spans="1:8" ht="24" customHeight="1" thickBot="1" x14ac:dyDescent="0.35">
      <c r="A464" s="198"/>
      <c r="B464" s="199"/>
      <c r="C464" s="199"/>
      <c r="D464" s="199"/>
      <c r="E464" s="200"/>
    </row>
    <row r="465" spans="1:11" ht="24" customHeight="1" thickBot="1" x14ac:dyDescent="0.35">
      <c r="A465" s="432" t="s">
        <v>180</v>
      </c>
      <c r="B465" s="433"/>
      <c r="C465" s="434"/>
      <c r="D465" s="201"/>
      <c r="E465" s="201"/>
    </row>
    <row r="466" spans="1:11" ht="24" customHeight="1" thickBot="1" x14ac:dyDescent="0.35">
      <c r="A466" s="202" t="s">
        <v>3</v>
      </c>
      <c r="B466" s="203" t="s">
        <v>112</v>
      </c>
      <c r="C466" s="204" t="s">
        <v>181</v>
      </c>
      <c r="D466" s="201"/>
      <c r="E466" s="201"/>
    </row>
    <row r="467" spans="1:11" ht="24" customHeight="1" x14ac:dyDescent="0.3">
      <c r="A467" s="112" t="s">
        <v>155</v>
      </c>
      <c r="B467" s="205"/>
      <c r="C467" s="206"/>
      <c r="D467" s="199"/>
      <c r="E467" s="207"/>
    </row>
    <row r="468" spans="1:11" ht="24" customHeight="1" x14ac:dyDescent="0.3">
      <c r="A468" s="114" t="s">
        <v>158</v>
      </c>
      <c r="B468" s="208"/>
      <c r="C468" s="209"/>
      <c r="D468" s="199"/>
      <c r="E468" s="207"/>
    </row>
    <row r="469" spans="1:11" ht="24" customHeight="1" thickBot="1" x14ac:dyDescent="0.35">
      <c r="A469" s="123" t="s">
        <v>160</v>
      </c>
      <c r="B469" s="210"/>
      <c r="C469" s="211"/>
      <c r="D469" s="199"/>
      <c r="E469" s="207"/>
    </row>
    <row r="470" spans="1:11" ht="24" customHeight="1" x14ac:dyDescent="0.3">
      <c r="A470" s="112" t="s">
        <v>156</v>
      </c>
      <c r="B470" s="212"/>
      <c r="C470" s="213"/>
      <c r="D470" s="199"/>
      <c r="E470" s="207"/>
    </row>
    <row r="471" spans="1:11" ht="24" customHeight="1" x14ac:dyDescent="0.3">
      <c r="A471" s="114" t="s">
        <v>157</v>
      </c>
      <c r="B471" s="208"/>
      <c r="C471" s="209"/>
      <c r="D471" s="199"/>
      <c r="E471" s="207"/>
    </row>
    <row r="472" spans="1:11" ht="24" customHeight="1" thickBot="1" x14ac:dyDescent="0.35">
      <c r="A472" s="111" t="s">
        <v>161</v>
      </c>
      <c r="B472" s="210"/>
      <c r="C472" s="211"/>
      <c r="D472" s="199"/>
      <c r="E472" s="207"/>
    </row>
    <row r="473" spans="1:11" ht="24" customHeight="1" thickBot="1" x14ac:dyDescent="0.35">
      <c r="A473" s="198"/>
      <c r="B473" s="199"/>
      <c r="C473" s="199"/>
      <c r="D473" s="199"/>
      <c r="E473" s="198"/>
    </row>
    <row r="474" spans="1:11" ht="24" customHeight="1" thickBot="1" x14ac:dyDescent="0.35">
      <c r="A474" s="435" t="s">
        <v>275</v>
      </c>
      <c r="B474" s="436"/>
      <c r="C474" s="436"/>
      <c r="D474" s="436"/>
      <c r="E474" s="436"/>
      <c r="F474" s="437"/>
    </row>
    <row r="475" spans="1:11" ht="41.25" customHeight="1" thickBot="1" x14ac:dyDescent="0.35">
      <c r="A475" s="280" t="s">
        <v>182</v>
      </c>
      <c r="B475" s="281" t="s">
        <v>183</v>
      </c>
      <c r="C475" s="282" t="s">
        <v>174</v>
      </c>
      <c r="D475" s="282" t="s">
        <v>276</v>
      </c>
      <c r="E475" s="282" t="s">
        <v>184</v>
      </c>
      <c r="F475" s="277" t="s">
        <v>185</v>
      </c>
    </row>
    <row r="476" spans="1:11" ht="24" customHeight="1" x14ac:dyDescent="0.3">
      <c r="A476" s="214"/>
      <c r="B476" s="262"/>
      <c r="C476" s="215"/>
      <c r="D476" s="216"/>
      <c r="E476" s="217"/>
      <c r="F476" s="218"/>
    </row>
    <row r="477" spans="1:11" ht="24" customHeight="1" x14ac:dyDescent="0.3">
      <c r="A477" s="219"/>
      <c r="B477" s="263"/>
      <c r="C477" s="220"/>
      <c r="D477" s="221"/>
      <c r="E477" s="222"/>
      <c r="F477" s="223"/>
    </row>
    <row r="478" spans="1:11" ht="24" customHeight="1" x14ac:dyDescent="0.3">
      <c r="A478" s="219"/>
      <c r="B478" s="263"/>
      <c r="C478" s="220"/>
      <c r="D478" s="221"/>
      <c r="E478" s="222"/>
      <c r="F478" s="279"/>
      <c r="G478" s="276"/>
      <c r="H478" s="276"/>
      <c r="I478" s="276"/>
      <c r="J478" s="276"/>
      <c r="K478" s="276"/>
    </row>
    <row r="479" spans="1:11" ht="24" customHeight="1" x14ac:dyDescent="0.3">
      <c r="A479" s="219"/>
      <c r="B479" s="263"/>
      <c r="C479" s="220"/>
      <c r="D479" s="221"/>
      <c r="E479" s="222"/>
      <c r="F479" s="223"/>
    </row>
    <row r="480" spans="1:11" ht="24" customHeight="1" x14ac:dyDescent="0.3">
      <c r="A480" s="219"/>
      <c r="B480" s="263"/>
      <c r="C480" s="220"/>
      <c r="D480" s="221"/>
      <c r="E480" s="222"/>
      <c r="F480" s="223"/>
    </row>
    <row r="481" spans="1:6" ht="24" customHeight="1" x14ac:dyDescent="0.3">
      <c r="A481" s="219"/>
      <c r="B481" s="263"/>
      <c r="C481" s="220"/>
      <c r="D481" s="221"/>
      <c r="E481" s="222"/>
      <c r="F481" s="223"/>
    </row>
    <row r="482" spans="1:6" ht="24" customHeight="1" x14ac:dyDescent="0.3">
      <c r="A482" s="219"/>
      <c r="B482" s="263"/>
      <c r="C482" s="220"/>
      <c r="D482" s="221"/>
      <c r="E482" s="222"/>
      <c r="F482" s="223"/>
    </row>
    <row r="483" spans="1:6" ht="24" customHeight="1" x14ac:dyDescent="0.3">
      <c r="A483" s="219"/>
      <c r="B483" s="263"/>
      <c r="C483" s="220"/>
      <c r="D483" s="221"/>
      <c r="E483" s="222"/>
      <c r="F483" s="223"/>
    </row>
    <row r="484" spans="1:6" ht="24" customHeight="1" x14ac:dyDescent="0.3">
      <c r="A484" s="219"/>
      <c r="B484" s="263"/>
      <c r="C484" s="220"/>
      <c r="D484" s="221"/>
      <c r="E484" s="222"/>
      <c r="F484" s="223"/>
    </row>
    <row r="485" spans="1:6" ht="24" customHeight="1" x14ac:dyDescent="0.3">
      <c r="A485" s="219"/>
      <c r="B485" s="263"/>
      <c r="C485" s="220"/>
      <c r="D485" s="221"/>
      <c r="E485" s="222"/>
      <c r="F485" s="223"/>
    </row>
    <row r="486" spans="1:6" ht="24" customHeight="1" x14ac:dyDescent="0.3">
      <c r="A486" s="224"/>
      <c r="B486" s="263"/>
      <c r="C486" s="31"/>
      <c r="D486" s="225"/>
      <c r="E486" s="222"/>
      <c r="F486" s="223"/>
    </row>
    <row r="487" spans="1:6" ht="24" customHeight="1" x14ac:dyDescent="0.3">
      <c r="A487" s="219"/>
      <c r="B487" s="263"/>
      <c r="C487" s="220"/>
      <c r="D487" s="221"/>
      <c r="E487" s="222"/>
      <c r="F487" s="223"/>
    </row>
    <row r="488" spans="1:6" ht="24" customHeight="1" x14ac:dyDescent="0.3">
      <c r="A488" s="219"/>
      <c r="B488" s="263"/>
      <c r="C488" s="220"/>
      <c r="D488" s="221"/>
      <c r="E488" s="222"/>
      <c r="F488" s="223"/>
    </row>
    <row r="489" spans="1:6" ht="24" customHeight="1" thickBot="1" x14ac:dyDescent="0.35">
      <c r="A489" s="226"/>
      <c r="B489" s="264"/>
      <c r="C489" s="227"/>
      <c r="D489" s="228"/>
      <c r="E489" s="229"/>
      <c r="F489" s="230"/>
    </row>
    <row r="490" spans="1:6" ht="24" customHeight="1" thickBot="1" x14ac:dyDescent="0.35">
      <c r="A490" s="438" t="s">
        <v>186</v>
      </c>
      <c r="B490" s="439"/>
      <c r="C490" s="439"/>
      <c r="D490" s="440"/>
      <c r="E490" s="231"/>
      <c r="F490" s="232"/>
    </row>
    <row r="491" spans="1:6" ht="24" customHeight="1" thickBot="1" x14ac:dyDescent="0.35">
      <c r="A491" s="198"/>
      <c r="B491" s="199"/>
      <c r="C491" s="199"/>
      <c r="D491" s="199"/>
      <c r="E491" s="198"/>
    </row>
    <row r="492" spans="1:6" ht="24" customHeight="1" thickBot="1" x14ac:dyDescent="0.35">
      <c r="A492" s="441" t="s">
        <v>187</v>
      </c>
      <c r="B492" s="442"/>
      <c r="C492" s="442"/>
      <c r="D492" s="443"/>
    </row>
    <row r="493" spans="1:6" ht="27.75" customHeight="1" thickBot="1" x14ac:dyDescent="0.35">
      <c r="A493" s="233" t="s">
        <v>3</v>
      </c>
      <c r="B493" s="234" t="s">
        <v>112</v>
      </c>
      <c r="C493" s="234" t="s">
        <v>113</v>
      </c>
      <c r="D493" s="235" t="s">
        <v>188</v>
      </c>
    </row>
    <row r="494" spans="1:6" ht="24" customHeight="1" x14ac:dyDescent="0.3">
      <c r="A494" s="112" t="s">
        <v>155</v>
      </c>
      <c r="B494" s="205"/>
      <c r="C494" s="205"/>
      <c r="D494" s="236"/>
    </row>
    <row r="495" spans="1:6" ht="24" customHeight="1" x14ac:dyDescent="0.3">
      <c r="A495" s="114" t="s">
        <v>158</v>
      </c>
      <c r="B495" s="208"/>
      <c r="C495" s="208"/>
      <c r="D495" s="237"/>
    </row>
    <row r="496" spans="1:6" ht="24" customHeight="1" thickBot="1" x14ac:dyDescent="0.35">
      <c r="A496" s="123" t="s">
        <v>160</v>
      </c>
      <c r="B496" s="238"/>
      <c r="C496" s="238"/>
      <c r="D496" s="239"/>
    </row>
    <row r="497" spans="1:8" ht="24" customHeight="1" x14ac:dyDescent="0.3">
      <c r="A497" s="112" t="s">
        <v>156</v>
      </c>
      <c r="B497" s="205"/>
      <c r="C497" s="205"/>
      <c r="D497" s="240"/>
    </row>
    <row r="498" spans="1:8" ht="24" customHeight="1" x14ac:dyDescent="0.3">
      <c r="A498" s="114" t="s">
        <v>157</v>
      </c>
      <c r="B498" s="208"/>
      <c r="C498" s="208"/>
      <c r="D498" s="241"/>
    </row>
    <row r="499" spans="1:8" ht="24" customHeight="1" thickBot="1" x14ac:dyDescent="0.35">
      <c r="A499" s="111" t="s">
        <v>161</v>
      </c>
      <c r="B499" s="210"/>
      <c r="C499" s="210"/>
      <c r="D499" s="242"/>
    </row>
    <row r="500" spans="1:8" ht="24" customHeight="1" thickBot="1" x14ac:dyDescent="0.35"/>
    <row r="501" spans="1:8" ht="24" customHeight="1" thickBot="1" x14ac:dyDescent="0.35">
      <c r="A501" s="413" t="s">
        <v>122</v>
      </c>
      <c r="B501" s="414"/>
      <c r="C501" s="414"/>
      <c r="D501" s="415"/>
    </row>
    <row r="502" spans="1:8" ht="39.75" customHeight="1" thickBot="1" x14ac:dyDescent="0.35">
      <c r="A502" s="143" t="s">
        <v>3</v>
      </c>
      <c r="B502" s="243" t="s">
        <v>189</v>
      </c>
      <c r="C502" s="243" t="s">
        <v>190</v>
      </c>
      <c r="D502" s="144" t="s">
        <v>4</v>
      </c>
    </row>
    <row r="503" spans="1:8" ht="24" customHeight="1" x14ac:dyDescent="0.3">
      <c r="A503" s="112" t="s">
        <v>155</v>
      </c>
      <c r="B503" s="244">
        <f t="shared" ref="B503:B508" si="90">C467</f>
        <v>0</v>
      </c>
      <c r="C503" s="244">
        <f t="shared" ref="C503:C508" si="91">D494</f>
        <v>0</v>
      </c>
      <c r="D503" s="236">
        <f>SUM(B503:C503)</f>
        <v>0</v>
      </c>
    </row>
    <row r="504" spans="1:8" ht="24" customHeight="1" x14ac:dyDescent="0.3">
      <c r="A504" s="114" t="s">
        <v>158</v>
      </c>
      <c r="B504" s="245">
        <f t="shared" si="90"/>
        <v>0</v>
      </c>
      <c r="C504" s="245">
        <f t="shared" si="91"/>
        <v>0</v>
      </c>
      <c r="D504" s="237">
        <f t="shared" ref="D504:D508" si="92">SUM(B504:C504)</f>
        <v>0</v>
      </c>
    </row>
    <row r="505" spans="1:8" ht="24" customHeight="1" thickBot="1" x14ac:dyDescent="0.35">
      <c r="A505" s="123" t="s">
        <v>160</v>
      </c>
      <c r="B505" s="246">
        <f t="shared" si="90"/>
        <v>0</v>
      </c>
      <c r="C505" s="246">
        <f t="shared" si="91"/>
        <v>0</v>
      </c>
      <c r="D505" s="239">
        <f t="shared" si="92"/>
        <v>0</v>
      </c>
    </row>
    <row r="506" spans="1:8" ht="24" customHeight="1" x14ac:dyDescent="0.3">
      <c r="A506" s="112" t="s">
        <v>156</v>
      </c>
      <c r="B506" s="247">
        <f t="shared" si="90"/>
        <v>0</v>
      </c>
      <c r="C506" s="247">
        <f t="shared" si="91"/>
        <v>0</v>
      </c>
      <c r="D506" s="240">
        <f t="shared" si="92"/>
        <v>0</v>
      </c>
    </row>
    <row r="507" spans="1:8" ht="24" customHeight="1" x14ac:dyDescent="0.3">
      <c r="A507" s="114" t="s">
        <v>157</v>
      </c>
      <c r="B507" s="248">
        <f t="shared" si="90"/>
        <v>0</v>
      </c>
      <c r="C507" s="248">
        <f t="shared" si="91"/>
        <v>0</v>
      </c>
      <c r="D507" s="241">
        <f t="shared" si="92"/>
        <v>0</v>
      </c>
    </row>
    <row r="508" spans="1:8" ht="24" customHeight="1" thickBot="1" x14ac:dyDescent="0.35">
      <c r="A508" s="111" t="s">
        <v>161</v>
      </c>
      <c r="B508" s="249">
        <f t="shared" si="90"/>
        <v>0</v>
      </c>
      <c r="C508" s="249">
        <f t="shared" si="91"/>
        <v>0</v>
      </c>
      <c r="D508" s="242">
        <f t="shared" si="92"/>
        <v>0</v>
      </c>
      <c r="H508" s="162"/>
    </row>
    <row r="510" spans="1:8" ht="24" customHeight="1" x14ac:dyDescent="0.3">
      <c r="A510" s="404" t="s">
        <v>123</v>
      </c>
      <c r="B510" s="404"/>
      <c r="C510" s="404"/>
      <c r="D510" s="404"/>
      <c r="E510" s="404"/>
      <c r="F510" s="404"/>
      <c r="G510" s="404"/>
      <c r="H510" s="404"/>
    </row>
    <row r="511" spans="1:8" ht="24" customHeight="1" thickBot="1" x14ac:dyDescent="0.35">
      <c r="A511" s="429"/>
      <c r="B511" s="429"/>
      <c r="C511" s="429"/>
      <c r="D511" s="429"/>
      <c r="E511" s="429"/>
      <c r="F511" s="429"/>
    </row>
    <row r="512" spans="1:8" ht="49.5" customHeight="1" x14ac:dyDescent="0.3">
      <c r="A512" s="430" t="s">
        <v>166</v>
      </c>
      <c r="B512" s="431"/>
      <c r="C512" s="171"/>
      <c r="D512" s="171"/>
      <c r="E512" s="171"/>
      <c r="F512" s="171"/>
    </row>
    <row r="513" spans="1:8" ht="24" customHeight="1" x14ac:dyDescent="0.3">
      <c r="A513" s="174" t="s">
        <v>167</v>
      </c>
      <c r="B513" s="176"/>
      <c r="C513" s="171"/>
      <c r="D513" s="171"/>
      <c r="E513" s="171"/>
      <c r="F513" s="171"/>
    </row>
    <row r="514" spans="1:8" ht="24" customHeight="1" x14ac:dyDescent="0.3">
      <c r="A514" s="174" t="s">
        <v>168</v>
      </c>
      <c r="B514" s="176"/>
      <c r="C514" s="171"/>
      <c r="D514" s="171"/>
      <c r="E514" s="171"/>
      <c r="F514" s="171"/>
    </row>
    <row r="515" spans="1:8" ht="24" customHeight="1" thickBot="1" x14ac:dyDescent="0.35">
      <c r="A515" s="175" t="s">
        <v>169</v>
      </c>
      <c r="B515" s="177"/>
      <c r="C515" s="171"/>
      <c r="D515" s="171"/>
      <c r="E515" s="171"/>
      <c r="F515" s="171"/>
    </row>
    <row r="516" spans="1:8" ht="24" customHeight="1" thickBot="1" x14ac:dyDescent="0.35"/>
    <row r="517" spans="1:8" ht="24" customHeight="1" thickBot="1" x14ac:dyDescent="0.35">
      <c r="A517" s="400" t="s">
        <v>123</v>
      </c>
      <c r="B517" s="401"/>
      <c r="C517" s="401"/>
      <c r="D517" s="402"/>
    </row>
    <row r="518" spans="1:8" ht="24" customHeight="1" thickBot="1" x14ac:dyDescent="0.35">
      <c r="A518" s="23" t="s">
        <v>3</v>
      </c>
      <c r="B518" s="24" t="s">
        <v>1</v>
      </c>
      <c r="C518" s="24" t="s">
        <v>2</v>
      </c>
      <c r="D518" s="25" t="s">
        <v>4</v>
      </c>
    </row>
    <row r="519" spans="1:8" ht="24" customHeight="1" x14ac:dyDescent="0.3">
      <c r="A519" s="112" t="s">
        <v>155</v>
      </c>
      <c r="B519" s="139">
        <f t="shared" ref="B519:B524" si="93">G70+E255+E359+D443+D503</f>
        <v>0</v>
      </c>
      <c r="C519" s="178">
        <f>((1+$B$513)/(1-$B$514-$B$515))-1</f>
        <v>0</v>
      </c>
      <c r="D519" s="128">
        <f>B519*C519</f>
        <v>0</v>
      </c>
    </row>
    <row r="520" spans="1:8" ht="24" customHeight="1" x14ac:dyDescent="0.3">
      <c r="A520" s="114" t="s">
        <v>158</v>
      </c>
      <c r="B520" s="140">
        <f t="shared" si="93"/>
        <v>0</v>
      </c>
      <c r="C520" s="179">
        <f t="shared" ref="C520:C524" si="94">((1+$B$513)/(1-$B$514-$B$515))-1</f>
        <v>0</v>
      </c>
      <c r="D520" s="129">
        <f t="shared" ref="D520:D524" si="95">B520*C520</f>
        <v>0</v>
      </c>
    </row>
    <row r="521" spans="1:8" ht="24" customHeight="1" thickBot="1" x14ac:dyDescent="0.35">
      <c r="A521" s="123" t="s">
        <v>160</v>
      </c>
      <c r="B521" s="141">
        <f t="shared" si="93"/>
        <v>0</v>
      </c>
      <c r="C521" s="180">
        <f t="shared" si="94"/>
        <v>0</v>
      </c>
      <c r="D521" s="130">
        <f t="shared" si="95"/>
        <v>0</v>
      </c>
    </row>
    <row r="522" spans="1:8" ht="24" customHeight="1" x14ac:dyDescent="0.3">
      <c r="A522" s="112" t="s">
        <v>156</v>
      </c>
      <c r="B522" s="139">
        <f t="shared" si="93"/>
        <v>0</v>
      </c>
      <c r="C522" s="178">
        <f t="shared" si="94"/>
        <v>0</v>
      </c>
      <c r="D522" s="128">
        <f t="shared" si="95"/>
        <v>0</v>
      </c>
    </row>
    <row r="523" spans="1:8" ht="24" customHeight="1" x14ac:dyDescent="0.3">
      <c r="A523" s="114" t="s">
        <v>157</v>
      </c>
      <c r="B523" s="140">
        <f t="shared" si="93"/>
        <v>0</v>
      </c>
      <c r="C523" s="179">
        <f t="shared" si="94"/>
        <v>0</v>
      </c>
      <c r="D523" s="129">
        <f t="shared" si="95"/>
        <v>0</v>
      </c>
    </row>
    <row r="524" spans="1:8" ht="24" customHeight="1" thickBot="1" x14ac:dyDescent="0.35">
      <c r="A524" s="111" t="s">
        <v>161</v>
      </c>
      <c r="B524" s="142">
        <f t="shared" si="93"/>
        <v>0</v>
      </c>
      <c r="C524" s="181">
        <f t="shared" si="94"/>
        <v>0</v>
      </c>
      <c r="D524" s="131">
        <f t="shared" si="95"/>
        <v>0</v>
      </c>
      <c r="H524" s="162"/>
    </row>
    <row r="526" spans="1:8" ht="24" customHeight="1" x14ac:dyDescent="0.3">
      <c r="A526" s="404" t="s">
        <v>152</v>
      </c>
      <c r="B526" s="404"/>
      <c r="C526" s="404"/>
      <c r="D526" s="404"/>
      <c r="E526" s="404"/>
      <c r="F526" s="404"/>
      <c r="G526" s="404"/>
      <c r="H526" s="404"/>
    </row>
    <row r="527" spans="1:8" ht="51" customHeight="1" x14ac:dyDescent="0.3">
      <c r="A527" s="403" t="s">
        <v>277</v>
      </c>
      <c r="B527" s="403"/>
      <c r="C527" s="403"/>
      <c r="D527" s="403"/>
      <c r="E527" s="403"/>
      <c r="F527" s="403"/>
    </row>
    <row r="528" spans="1:8" ht="24" customHeight="1" thickBot="1" x14ac:dyDescent="0.35"/>
    <row r="529" spans="1:8" ht="24" customHeight="1" thickBot="1" x14ac:dyDescent="0.35">
      <c r="A529" s="397" t="s">
        <v>125</v>
      </c>
      <c r="B529" s="398"/>
      <c r="C529" s="398"/>
      <c r="D529" s="399"/>
    </row>
    <row r="530" spans="1:8" ht="24" customHeight="1" thickBot="1" x14ac:dyDescent="0.35">
      <c r="A530" s="106" t="s">
        <v>3</v>
      </c>
      <c r="B530" s="107" t="s">
        <v>1</v>
      </c>
      <c r="C530" s="107" t="s">
        <v>124</v>
      </c>
      <c r="D530" s="108" t="s">
        <v>4</v>
      </c>
    </row>
    <row r="531" spans="1:8" ht="24" customHeight="1" x14ac:dyDescent="0.3">
      <c r="A531" s="112" t="s">
        <v>156</v>
      </c>
      <c r="B531" s="120">
        <f>G73+E258+E362+D446+D506+D522</f>
        <v>0</v>
      </c>
      <c r="C531" s="113">
        <v>40</v>
      </c>
      <c r="D531" s="128">
        <f>B531/C531</f>
        <v>0</v>
      </c>
    </row>
    <row r="532" spans="1:8" ht="24" customHeight="1" x14ac:dyDescent="0.3">
      <c r="A532" s="114" t="s">
        <v>157</v>
      </c>
      <c r="B532" s="121">
        <f>G74+E259+E363+D447+D507+D523</f>
        <v>0</v>
      </c>
      <c r="C532" s="115">
        <f>C531</f>
        <v>40</v>
      </c>
      <c r="D532" s="129">
        <f t="shared" ref="D532:D533" si="96">B532/C532</f>
        <v>0</v>
      </c>
    </row>
    <row r="533" spans="1:8" ht="24" customHeight="1" thickBot="1" x14ac:dyDescent="0.35">
      <c r="A533" s="111" t="s">
        <v>161</v>
      </c>
      <c r="B533" s="122">
        <f>G75+E260+E364+D448+D508+D524</f>
        <v>0</v>
      </c>
      <c r="C533" s="116">
        <f>C532</f>
        <v>40</v>
      </c>
      <c r="D533" s="131">
        <f t="shared" si="96"/>
        <v>0</v>
      </c>
      <c r="H533" s="162"/>
    </row>
    <row r="535" spans="1:8" ht="24" customHeight="1" x14ac:dyDescent="0.3">
      <c r="A535" s="404" t="s">
        <v>170</v>
      </c>
      <c r="B535" s="404"/>
      <c r="C535" s="404"/>
      <c r="D535" s="404"/>
      <c r="E535" s="404"/>
      <c r="F535" s="404"/>
      <c r="G535" s="404"/>
      <c r="H535" s="404"/>
    </row>
    <row r="536" spans="1:8" ht="24" customHeight="1" thickBot="1" x14ac:dyDescent="0.35"/>
    <row r="537" spans="1:8" ht="24" customHeight="1" thickBot="1" x14ac:dyDescent="0.35">
      <c r="A537" s="410" t="s">
        <v>171</v>
      </c>
      <c r="B537" s="411"/>
      <c r="C537" s="411"/>
      <c r="D537" s="412"/>
    </row>
    <row r="538" spans="1:8" ht="24" customHeight="1" thickBot="1" x14ac:dyDescent="0.35">
      <c r="A538" s="110" t="s">
        <v>126</v>
      </c>
      <c r="B538" s="107" t="s">
        <v>127</v>
      </c>
      <c r="C538" s="107" t="s">
        <v>128</v>
      </c>
      <c r="D538" s="108" t="s">
        <v>129</v>
      </c>
    </row>
    <row r="539" spans="1:8" ht="32.1" customHeight="1" x14ac:dyDescent="0.3">
      <c r="A539" s="54" t="s">
        <v>130</v>
      </c>
      <c r="B539" s="120">
        <f>G70</f>
        <v>0</v>
      </c>
      <c r="C539" s="120">
        <f>G71</f>
        <v>0</v>
      </c>
      <c r="D539" s="93">
        <f>G72</f>
        <v>0</v>
      </c>
    </row>
    <row r="540" spans="1:8" ht="32.1" customHeight="1" x14ac:dyDescent="0.3">
      <c r="A540" s="34" t="s">
        <v>131</v>
      </c>
      <c r="B540" s="121">
        <f>E255</f>
        <v>0</v>
      </c>
      <c r="C540" s="121">
        <f>E256</f>
        <v>0</v>
      </c>
      <c r="D540" s="53">
        <f>E257</f>
        <v>0</v>
      </c>
    </row>
    <row r="541" spans="1:8" ht="32.1" customHeight="1" x14ac:dyDescent="0.3">
      <c r="A541" s="34" t="s">
        <v>132</v>
      </c>
      <c r="B541" s="121">
        <f>E359</f>
        <v>0</v>
      </c>
      <c r="C541" s="121">
        <f>E360</f>
        <v>0</v>
      </c>
      <c r="D541" s="53">
        <f>E361</f>
        <v>0</v>
      </c>
    </row>
    <row r="542" spans="1:8" ht="32.1" customHeight="1" x14ac:dyDescent="0.3">
      <c r="A542" s="34" t="s">
        <v>133</v>
      </c>
      <c r="B542" s="121">
        <f>D443</f>
        <v>0</v>
      </c>
      <c r="C542" s="121">
        <f>D444</f>
        <v>0</v>
      </c>
      <c r="D542" s="53">
        <f>D445</f>
        <v>0</v>
      </c>
    </row>
    <row r="543" spans="1:8" ht="32.1" customHeight="1" x14ac:dyDescent="0.3">
      <c r="A543" s="34" t="s">
        <v>134</v>
      </c>
      <c r="B543" s="121">
        <f>D503</f>
        <v>0</v>
      </c>
      <c r="C543" s="121">
        <f>D504</f>
        <v>0</v>
      </c>
      <c r="D543" s="53">
        <f>D505</f>
        <v>0</v>
      </c>
    </row>
    <row r="544" spans="1:8" ht="32.1" customHeight="1" x14ac:dyDescent="0.3">
      <c r="A544" s="34" t="s">
        <v>135</v>
      </c>
      <c r="B544" s="121">
        <f>D519</f>
        <v>0</v>
      </c>
      <c r="C544" s="121">
        <f>D520</f>
        <v>0</v>
      </c>
      <c r="D544" s="53">
        <f>D521</f>
        <v>0</v>
      </c>
    </row>
    <row r="545" spans="1:4" ht="32.1" customHeight="1" x14ac:dyDescent="0.3">
      <c r="A545" s="34" t="s">
        <v>138</v>
      </c>
      <c r="B545" s="121">
        <f>D531</f>
        <v>0</v>
      </c>
      <c r="C545" s="121">
        <f>D532</f>
        <v>0</v>
      </c>
      <c r="D545" s="53">
        <f>D533</f>
        <v>0</v>
      </c>
    </row>
    <row r="546" spans="1:4" ht="32.1" customHeight="1" thickBot="1" x14ac:dyDescent="0.35">
      <c r="A546" s="155" t="s">
        <v>136</v>
      </c>
      <c r="B546" s="156">
        <f>SUM(B539:B545)</f>
        <v>0</v>
      </c>
      <c r="C546" s="156">
        <f>SUM(C539:C545)</f>
        <v>0</v>
      </c>
      <c r="D546" s="157">
        <f>SUM(D539:D545)</f>
        <v>0</v>
      </c>
    </row>
    <row r="547" spans="1:4" ht="32.1" customHeight="1" thickBot="1" x14ac:dyDescent="0.35">
      <c r="A547" s="109" t="s">
        <v>137</v>
      </c>
      <c r="B547" s="84">
        <f>B546*2</f>
        <v>0</v>
      </c>
      <c r="C547" s="84">
        <f>C546*2</f>
        <v>0</v>
      </c>
      <c r="D547" s="85">
        <f>D546*1</f>
        <v>0</v>
      </c>
    </row>
    <row r="548" spans="1:4" ht="24" customHeight="1" x14ac:dyDescent="0.3">
      <c r="A548" s="74"/>
    </row>
    <row r="549" spans="1:4" ht="24" customHeight="1" x14ac:dyDescent="0.3">
      <c r="A549" s="74"/>
    </row>
    <row r="550" spans="1:4" ht="24" customHeight="1" x14ac:dyDescent="0.3">
      <c r="A550" s="74"/>
    </row>
  </sheetData>
  <mergeCells count="110">
    <mergeCell ref="A511:F511"/>
    <mergeCell ref="A512:B512"/>
    <mergeCell ref="A452:D452"/>
    <mergeCell ref="A463:C463"/>
    <mergeCell ref="A465:C465"/>
    <mergeCell ref="A474:F474"/>
    <mergeCell ref="A490:D490"/>
    <mergeCell ref="A492:D492"/>
    <mergeCell ref="A439:H439"/>
    <mergeCell ref="A450:H450"/>
    <mergeCell ref="A510:H510"/>
    <mergeCell ref="A441:D441"/>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295:D295"/>
    <mergeCell ref="A233:D233"/>
    <mergeCell ref="A265:B265"/>
    <mergeCell ref="A277:D277"/>
    <mergeCell ref="A286:D286"/>
    <mergeCell ref="A253:E253"/>
    <mergeCell ref="A274:H274"/>
    <mergeCell ref="A251:H251"/>
    <mergeCell ref="A262:H262"/>
    <mergeCell ref="A275:H275"/>
    <mergeCell ref="A263:H263"/>
    <mergeCell ref="A355:H355"/>
    <mergeCell ref="A366:H366"/>
    <mergeCell ref="A367:H367"/>
    <mergeCell ref="A307:D307"/>
    <mergeCell ref="A316:D316"/>
    <mergeCell ref="A325:D325"/>
    <mergeCell ref="A346:D346"/>
    <mergeCell ref="A337:E337"/>
    <mergeCell ref="A304:H304"/>
    <mergeCell ref="A334:H334"/>
    <mergeCell ref="A305:H305"/>
    <mergeCell ref="A335:H335"/>
    <mergeCell ref="A403:H403"/>
    <mergeCell ref="A424:H424"/>
    <mergeCell ref="A404:H404"/>
    <mergeCell ref="A425:H425"/>
    <mergeCell ref="A371:A372"/>
    <mergeCell ref="B371:B372"/>
    <mergeCell ref="C371:C372"/>
    <mergeCell ref="A357:E357"/>
    <mergeCell ref="A369:G369"/>
    <mergeCell ref="A370:G37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view="pageBreakPreview" zoomScaleNormal="100" zoomScaleSheetLayoutView="100" workbookViewId="0">
      <selection activeCell="D27" sqref="D27"/>
    </sheetView>
  </sheetViews>
  <sheetFormatPr defaultRowHeight="14.4" x14ac:dyDescent="0.3"/>
  <cols>
    <col min="1" max="1" width="55.88671875" bestFit="1" customWidth="1"/>
    <col min="2" max="2" width="15.88671875" customWidth="1"/>
    <col min="3" max="3" width="16" style="342" customWidth="1"/>
    <col min="4" max="4" width="12.44140625" style="314" customWidth="1"/>
  </cols>
  <sheetData>
    <row r="1" spans="1:4" ht="28.8" x14ac:dyDescent="0.3">
      <c r="A1" s="331" t="s">
        <v>340</v>
      </c>
      <c r="B1" s="331" t="s">
        <v>368</v>
      </c>
      <c r="C1" s="331" t="s">
        <v>400</v>
      </c>
      <c r="D1" s="331" t="s">
        <v>367</v>
      </c>
    </row>
    <row r="2" spans="1:4" ht="14.4" customHeight="1" x14ac:dyDescent="0.3">
      <c r="A2" s="332" t="s">
        <v>365</v>
      </c>
      <c r="B2" s="333"/>
      <c r="C2" s="341"/>
      <c r="D2" s="334"/>
    </row>
    <row r="3" spans="1:4" ht="16.5" x14ac:dyDescent="0.35">
      <c r="A3" s="335" t="s">
        <v>358</v>
      </c>
      <c r="B3" s="336">
        <v>0</v>
      </c>
      <c r="C3" s="336" t="s">
        <v>370</v>
      </c>
      <c r="D3" s="337"/>
    </row>
    <row r="4" spans="1:4" ht="16.5" x14ac:dyDescent="0.35">
      <c r="A4" s="335" t="s">
        <v>376</v>
      </c>
      <c r="B4" s="338">
        <v>12183.38</v>
      </c>
      <c r="C4" s="336" t="s">
        <v>371</v>
      </c>
      <c r="D4" s="339">
        <f>B4/1200</f>
        <v>10.152816666666666</v>
      </c>
    </row>
    <row r="5" spans="1:4" ht="16.2" x14ac:dyDescent="0.3">
      <c r="A5" s="335" t="s">
        <v>377</v>
      </c>
      <c r="B5" s="336">
        <v>0</v>
      </c>
      <c r="C5" s="336" t="s">
        <v>372</v>
      </c>
      <c r="D5" s="339"/>
    </row>
    <row r="6" spans="1:4" ht="16.2" x14ac:dyDescent="0.3">
      <c r="A6" s="335" t="s">
        <v>378</v>
      </c>
      <c r="B6" s="336">
        <v>344.28</v>
      </c>
      <c r="C6" s="336" t="s">
        <v>373</v>
      </c>
      <c r="D6" s="339">
        <f>B6/2500</f>
        <v>0.137712</v>
      </c>
    </row>
    <row r="7" spans="1:4" ht="16.5" x14ac:dyDescent="0.35">
      <c r="A7" s="335" t="s">
        <v>379</v>
      </c>
      <c r="B7" s="336">
        <v>0</v>
      </c>
      <c r="C7" s="336" t="s">
        <v>371</v>
      </c>
      <c r="D7" s="339"/>
    </row>
    <row r="8" spans="1:4" ht="16.2" x14ac:dyDescent="0.3">
      <c r="A8" s="335" t="s">
        <v>380</v>
      </c>
      <c r="B8" s="336">
        <v>216.69</v>
      </c>
      <c r="C8" s="336" t="s">
        <v>374</v>
      </c>
      <c r="D8" s="339">
        <f>B8/1500</f>
        <v>0.14446000000000001</v>
      </c>
    </row>
    <row r="9" spans="1:4" ht="16.5" x14ac:dyDescent="0.35">
      <c r="A9" s="335" t="s">
        <v>381</v>
      </c>
      <c r="B9" s="336">
        <v>959.26</v>
      </c>
      <c r="C9" s="336" t="s">
        <v>375</v>
      </c>
      <c r="D9" s="339">
        <f>B9/300</f>
        <v>3.1975333333333333</v>
      </c>
    </row>
    <row r="10" spans="1:4" ht="14.55" x14ac:dyDescent="0.35">
      <c r="A10" s="340" t="s">
        <v>369</v>
      </c>
      <c r="B10" s="340">
        <f>SUM(B3:B9)</f>
        <v>13703.61</v>
      </c>
      <c r="C10" s="340"/>
      <c r="D10" s="330">
        <f>SUM(D4:D9)</f>
        <v>13.632522000000002</v>
      </c>
    </row>
    <row r="11" spans="1:4" ht="14.4" customHeight="1" x14ac:dyDescent="0.3">
      <c r="A11" s="332" t="s">
        <v>366</v>
      </c>
      <c r="B11" s="333"/>
      <c r="C11" s="341"/>
      <c r="D11" s="315"/>
    </row>
    <row r="12" spans="1:4" x14ac:dyDescent="0.3">
      <c r="A12" s="335" t="s">
        <v>382</v>
      </c>
      <c r="B12" s="338">
        <v>5690.93</v>
      </c>
      <c r="C12" s="338" t="s">
        <v>401</v>
      </c>
      <c r="D12" s="339">
        <f>B12/2000</f>
        <v>2.8454650000000004</v>
      </c>
    </row>
    <row r="13" spans="1:4" ht="16.2" x14ac:dyDescent="0.3">
      <c r="A13" s="335" t="s">
        <v>384</v>
      </c>
      <c r="B13" s="338">
        <v>3605</v>
      </c>
      <c r="C13" s="338" t="s">
        <v>383</v>
      </c>
      <c r="D13" s="339">
        <f>B13/9000</f>
        <v>0.40055555555555555</v>
      </c>
    </row>
    <row r="14" spans="1:4" ht="16.2" x14ac:dyDescent="0.3">
      <c r="A14" s="335" t="s">
        <v>386</v>
      </c>
      <c r="B14" s="336">
        <v>0</v>
      </c>
      <c r="C14" s="338" t="s">
        <v>385</v>
      </c>
      <c r="D14" s="339"/>
    </row>
    <row r="15" spans="1:4" ht="16.2" x14ac:dyDescent="0.3">
      <c r="A15" s="335" t="s">
        <v>387</v>
      </c>
      <c r="B15" s="336">
        <v>876.45</v>
      </c>
      <c r="C15" s="338" t="s">
        <v>385</v>
      </c>
      <c r="D15" s="339">
        <f>B15/2700</f>
        <v>0.32461111111111113</v>
      </c>
    </row>
    <row r="16" spans="1:4" ht="16.2" x14ac:dyDescent="0.3">
      <c r="A16" s="335" t="s">
        <v>388</v>
      </c>
      <c r="B16" s="336">
        <v>0</v>
      </c>
      <c r="C16" s="338" t="s">
        <v>385</v>
      </c>
      <c r="D16" s="339"/>
    </row>
    <row r="17" spans="1:4" ht="18.45" customHeight="1" x14ac:dyDescent="0.3">
      <c r="A17" s="335" t="s">
        <v>389</v>
      </c>
      <c r="B17" s="338">
        <v>2109</v>
      </c>
      <c r="C17" s="338" t="s">
        <v>390</v>
      </c>
      <c r="D17" s="339">
        <f>B17/100000</f>
        <v>2.1090000000000001E-2</v>
      </c>
    </row>
    <row r="18" spans="1:4" ht="14.55" x14ac:dyDescent="0.35">
      <c r="A18" s="340" t="s">
        <v>369</v>
      </c>
      <c r="B18" s="340">
        <f>SUM(B12:B17)</f>
        <v>12281.380000000001</v>
      </c>
      <c r="C18" s="343"/>
      <c r="D18" s="330">
        <f>SUM(D12:D17)</f>
        <v>3.5917216666666669</v>
      </c>
    </row>
    <row r="19" spans="1:4" ht="14.4" customHeight="1" x14ac:dyDescent="0.35">
      <c r="A19" s="332" t="s">
        <v>391</v>
      </c>
      <c r="B19" s="333"/>
      <c r="C19" s="336"/>
      <c r="D19" s="329"/>
    </row>
    <row r="20" spans="1:4" ht="16.2" x14ac:dyDescent="0.3">
      <c r="A20" s="335" t="s">
        <v>393</v>
      </c>
      <c r="B20" s="336">
        <v>0</v>
      </c>
      <c r="C20" s="338" t="s">
        <v>392</v>
      </c>
      <c r="D20" s="329"/>
    </row>
    <row r="21" spans="1:4" ht="16.2" x14ac:dyDescent="0.3">
      <c r="A21" s="335" t="s">
        <v>394</v>
      </c>
      <c r="B21" s="336">
        <v>0</v>
      </c>
      <c r="C21" s="338" t="s">
        <v>398</v>
      </c>
      <c r="D21" s="329"/>
    </row>
    <row r="22" spans="1:4" ht="16.5" x14ac:dyDescent="0.35">
      <c r="A22" s="335" t="s">
        <v>395</v>
      </c>
      <c r="B22" s="338">
        <v>4919.04</v>
      </c>
      <c r="C22" s="338" t="s">
        <v>398</v>
      </c>
      <c r="D22" s="339">
        <f>(B22/30)*2/380</f>
        <v>0.86298947368421042</v>
      </c>
    </row>
    <row r="23" spans="1:4" ht="16.2" x14ac:dyDescent="0.3">
      <c r="A23" s="335" t="s">
        <v>396</v>
      </c>
      <c r="B23" s="336">
        <v>0</v>
      </c>
      <c r="C23" s="338" t="s">
        <v>392</v>
      </c>
      <c r="D23" s="329"/>
    </row>
    <row r="24" spans="1:4" ht="16.2" x14ac:dyDescent="0.3">
      <c r="A24" s="335" t="s">
        <v>397</v>
      </c>
      <c r="B24" s="336">
        <v>0</v>
      </c>
      <c r="C24" s="338" t="s">
        <v>399</v>
      </c>
      <c r="D24" s="329"/>
    </row>
    <row r="25" spans="1:4" ht="14.55" x14ac:dyDescent="0.35">
      <c r="A25" s="345"/>
      <c r="B25" s="340">
        <f>SUM(B20:B24)</f>
        <v>4919.04</v>
      </c>
      <c r="C25" s="343"/>
      <c r="D25" s="330">
        <f>SUM(D19:D24)</f>
        <v>0.86298947368421042</v>
      </c>
    </row>
    <row r="26" spans="1:4" ht="14.55" x14ac:dyDescent="0.35">
      <c r="A26" s="327"/>
      <c r="C26" s="328"/>
    </row>
    <row r="27" spans="1:4" ht="14.55" x14ac:dyDescent="0.35">
      <c r="C27" s="328"/>
      <c r="D27" s="344">
        <f>D10+D18+D25</f>
        <v>18.087233140350879</v>
      </c>
    </row>
  </sheetData>
  <phoneticPr fontId="47" type="noConversion"/>
  <pageMargins left="0.511811024" right="0.511811024" top="0.78740157499999996" bottom="0.78740157499999996" header="0.31496062000000002" footer="0.31496062000000002"/>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tabSelected="1" view="pageBreakPreview" topLeftCell="A40" zoomScaleNormal="100" zoomScaleSheetLayoutView="100" workbookViewId="0">
      <selection activeCell="F77" sqref="F77"/>
    </sheetView>
  </sheetViews>
  <sheetFormatPr defaultRowHeight="14.4" x14ac:dyDescent="0.3"/>
  <cols>
    <col min="1" max="1" width="70.5546875" style="355" bestFit="1" customWidth="1"/>
    <col min="2" max="2" width="35.21875" style="355" bestFit="1" customWidth="1"/>
    <col min="3" max="3" width="25.21875" style="355" bestFit="1" customWidth="1"/>
    <col min="4" max="4" width="16.77734375" style="355" bestFit="1" customWidth="1"/>
    <col min="5" max="5" width="17.6640625" style="355" bestFit="1" customWidth="1"/>
    <col min="6" max="6" width="14.77734375" style="355" customWidth="1"/>
    <col min="7" max="7" width="13.77734375" style="355" customWidth="1"/>
    <col min="8" max="8" width="9.109375" bestFit="1" customWidth="1"/>
    <col min="9" max="9" width="14.33203125" bestFit="1" customWidth="1"/>
    <col min="10" max="10" width="11.33203125" customWidth="1"/>
    <col min="250" max="250" width="38.77734375" customWidth="1"/>
    <col min="251" max="251" width="15.21875" customWidth="1"/>
    <col min="252" max="252" width="12.77734375" customWidth="1"/>
    <col min="253" max="253" width="16.5546875" customWidth="1"/>
    <col min="254" max="254" width="15" customWidth="1"/>
    <col min="255" max="255" width="14.77734375" customWidth="1"/>
    <col min="256" max="256" width="13.77734375" customWidth="1"/>
    <col min="257" max="257" width="14.77734375" customWidth="1"/>
    <col min="258" max="258" width="12.77734375" customWidth="1"/>
    <col min="259" max="260" width="12.77734375" bestFit="1" customWidth="1"/>
    <col min="262" max="262" width="12.77734375" bestFit="1" customWidth="1"/>
    <col min="506" max="506" width="38.77734375" customWidth="1"/>
    <col min="507" max="507" width="15.21875" customWidth="1"/>
    <col min="508" max="508" width="12.77734375" customWidth="1"/>
    <col min="509" max="509" width="16.5546875" customWidth="1"/>
    <col min="510" max="510" width="15" customWidth="1"/>
    <col min="511" max="511" width="14.77734375" customWidth="1"/>
    <col min="512" max="512" width="13.77734375" customWidth="1"/>
    <col min="513" max="513" width="14.77734375" customWidth="1"/>
    <col min="514" max="514" width="12.77734375" customWidth="1"/>
    <col min="515" max="516" width="12.77734375" bestFit="1" customWidth="1"/>
    <col min="518" max="518" width="12.77734375" bestFit="1" customWidth="1"/>
    <col min="762" max="762" width="38.77734375" customWidth="1"/>
    <col min="763" max="763" width="15.21875" customWidth="1"/>
    <col min="764" max="764" width="12.77734375" customWidth="1"/>
    <col min="765" max="765" width="16.5546875" customWidth="1"/>
    <col min="766" max="766" width="15" customWidth="1"/>
    <col min="767" max="767" width="14.77734375" customWidth="1"/>
    <col min="768" max="768" width="13.77734375" customWidth="1"/>
    <col min="769" max="769" width="14.77734375" customWidth="1"/>
    <col min="770" max="770" width="12.77734375" customWidth="1"/>
    <col min="771" max="772" width="12.77734375" bestFit="1" customWidth="1"/>
    <col min="774" max="774" width="12.77734375" bestFit="1" customWidth="1"/>
    <col min="1018" max="1018" width="38.77734375" customWidth="1"/>
    <col min="1019" max="1019" width="15.21875" customWidth="1"/>
    <col min="1020" max="1020" width="12.77734375" customWidth="1"/>
    <col min="1021" max="1021" width="16.5546875" customWidth="1"/>
    <col min="1022" max="1022" width="15" customWidth="1"/>
    <col min="1023" max="1023" width="14.77734375" customWidth="1"/>
    <col min="1024" max="1024" width="13.77734375" customWidth="1"/>
    <col min="1025" max="1025" width="14.77734375" customWidth="1"/>
    <col min="1026" max="1026" width="12.77734375" customWidth="1"/>
    <col min="1027" max="1028" width="12.77734375" bestFit="1" customWidth="1"/>
    <col min="1030" max="1030" width="12.77734375" bestFit="1" customWidth="1"/>
    <col min="1274" max="1274" width="38.77734375" customWidth="1"/>
    <col min="1275" max="1275" width="15.21875" customWidth="1"/>
    <col min="1276" max="1276" width="12.77734375" customWidth="1"/>
    <col min="1277" max="1277" width="16.5546875" customWidth="1"/>
    <col min="1278" max="1278" width="15" customWidth="1"/>
    <col min="1279" max="1279" width="14.77734375" customWidth="1"/>
    <col min="1280" max="1280" width="13.77734375" customWidth="1"/>
    <col min="1281" max="1281" width="14.77734375" customWidth="1"/>
    <col min="1282" max="1282" width="12.77734375" customWidth="1"/>
    <col min="1283" max="1284" width="12.77734375" bestFit="1" customWidth="1"/>
    <col min="1286" max="1286" width="12.77734375" bestFit="1" customWidth="1"/>
    <col min="1530" max="1530" width="38.77734375" customWidth="1"/>
    <col min="1531" max="1531" width="15.21875" customWidth="1"/>
    <col min="1532" max="1532" width="12.77734375" customWidth="1"/>
    <col min="1533" max="1533" width="16.5546875" customWidth="1"/>
    <col min="1534" max="1534" width="15" customWidth="1"/>
    <col min="1535" max="1535" width="14.77734375" customWidth="1"/>
    <col min="1536" max="1536" width="13.77734375" customWidth="1"/>
    <col min="1537" max="1537" width="14.77734375" customWidth="1"/>
    <col min="1538" max="1538" width="12.77734375" customWidth="1"/>
    <col min="1539" max="1540" width="12.77734375" bestFit="1" customWidth="1"/>
    <col min="1542" max="1542" width="12.77734375" bestFit="1" customWidth="1"/>
    <col min="1786" max="1786" width="38.77734375" customWidth="1"/>
    <col min="1787" max="1787" width="15.21875" customWidth="1"/>
    <col min="1788" max="1788" width="12.77734375" customWidth="1"/>
    <col min="1789" max="1789" width="16.5546875" customWidth="1"/>
    <col min="1790" max="1790" width="15" customWidth="1"/>
    <col min="1791" max="1791" width="14.77734375" customWidth="1"/>
    <col min="1792" max="1792" width="13.77734375" customWidth="1"/>
    <col min="1793" max="1793" width="14.77734375" customWidth="1"/>
    <col min="1794" max="1794" width="12.77734375" customWidth="1"/>
    <col min="1795" max="1796" width="12.77734375" bestFit="1" customWidth="1"/>
    <col min="1798" max="1798" width="12.77734375" bestFit="1" customWidth="1"/>
    <col min="2042" max="2042" width="38.77734375" customWidth="1"/>
    <col min="2043" max="2043" width="15.21875" customWidth="1"/>
    <col min="2044" max="2044" width="12.77734375" customWidth="1"/>
    <col min="2045" max="2045" width="16.5546875" customWidth="1"/>
    <col min="2046" max="2046" width="15" customWidth="1"/>
    <col min="2047" max="2047" width="14.77734375" customWidth="1"/>
    <col min="2048" max="2048" width="13.77734375" customWidth="1"/>
    <col min="2049" max="2049" width="14.77734375" customWidth="1"/>
    <col min="2050" max="2050" width="12.77734375" customWidth="1"/>
    <col min="2051" max="2052" width="12.77734375" bestFit="1" customWidth="1"/>
    <col min="2054" max="2054" width="12.77734375" bestFit="1" customWidth="1"/>
    <col min="2298" max="2298" width="38.77734375" customWidth="1"/>
    <col min="2299" max="2299" width="15.21875" customWidth="1"/>
    <col min="2300" max="2300" width="12.77734375" customWidth="1"/>
    <col min="2301" max="2301" width="16.5546875" customWidth="1"/>
    <col min="2302" max="2302" width="15" customWidth="1"/>
    <col min="2303" max="2303" width="14.77734375" customWidth="1"/>
    <col min="2304" max="2304" width="13.77734375" customWidth="1"/>
    <col min="2305" max="2305" width="14.77734375" customWidth="1"/>
    <col min="2306" max="2306" width="12.77734375" customWidth="1"/>
    <col min="2307" max="2308" width="12.77734375" bestFit="1" customWidth="1"/>
    <col min="2310" max="2310" width="12.77734375" bestFit="1" customWidth="1"/>
    <col min="2554" max="2554" width="38.77734375" customWidth="1"/>
    <col min="2555" max="2555" width="15.21875" customWidth="1"/>
    <col min="2556" max="2556" width="12.77734375" customWidth="1"/>
    <col min="2557" max="2557" width="16.5546875" customWidth="1"/>
    <col min="2558" max="2558" width="15" customWidth="1"/>
    <col min="2559" max="2559" width="14.77734375" customWidth="1"/>
    <col min="2560" max="2560" width="13.77734375" customWidth="1"/>
    <col min="2561" max="2561" width="14.77734375" customWidth="1"/>
    <col min="2562" max="2562" width="12.77734375" customWidth="1"/>
    <col min="2563" max="2564" width="12.77734375" bestFit="1" customWidth="1"/>
    <col min="2566" max="2566" width="12.77734375" bestFit="1" customWidth="1"/>
    <col min="2810" max="2810" width="38.77734375" customWidth="1"/>
    <col min="2811" max="2811" width="15.21875" customWidth="1"/>
    <col min="2812" max="2812" width="12.77734375" customWidth="1"/>
    <col min="2813" max="2813" width="16.5546875" customWidth="1"/>
    <col min="2814" max="2814" width="15" customWidth="1"/>
    <col min="2815" max="2815" width="14.77734375" customWidth="1"/>
    <col min="2816" max="2816" width="13.77734375" customWidth="1"/>
    <col min="2817" max="2817" width="14.77734375" customWidth="1"/>
    <col min="2818" max="2818" width="12.77734375" customWidth="1"/>
    <col min="2819" max="2820" width="12.77734375" bestFit="1" customWidth="1"/>
    <col min="2822" max="2822" width="12.77734375" bestFit="1" customWidth="1"/>
    <col min="3066" max="3066" width="38.77734375" customWidth="1"/>
    <col min="3067" max="3067" width="15.21875" customWidth="1"/>
    <col min="3068" max="3068" width="12.77734375" customWidth="1"/>
    <col min="3069" max="3069" width="16.5546875" customWidth="1"/>
    <col min="3070" max="3070" width="15" customWidth="1"/>
    <col min="3071" max="3071" width="14.77734375" customWidth="1"/>
    <col min="3072" max="3072" width="13.77734375" customWidth="1"/>
    <col min="3073" max="3073" width="14.77734375" customWidth="1"/>
    <col min="3074" max="3074" width="12.77734375" customWidth="1"/>
    <col min="3075" max="3076" width="12.77734375" bestFit="1" customWidth="1"/>
    <col min="3078" max="3078" width="12.77734375" bestFit="1" customWidth="1"/>
    <col min="3322" max="3322" width="38.77734375" customWidth="1"/>
    <col min="3323" max="3323" width="15.21875" customWidth="1"/>
    <col min="3324" max="3324" width="12.77734375" customWidth="1"/>
    <col min="3325" max="3325" width="16.5546875" customWidth="1"/>
    <col min="3326" max="3326" width="15" customWidth="1"/>
    <col min="3327" max="3327" width="14.77734375" customWidth="1"/>
    <col min="3328" max="3328" width="13.77734375" customWidth="1"/>
    <col min="3329" max="3329" width="14.77734375" customWidth="1"/>
    <col min="3330" max="3330" width="12.77734375" customWidth="1"/>
    <col min="3331" max="3332" width="12.77734375" bestFit="1" customWidth="1"/>
    <col min="3334" max="3334" width="12.77734375" bestFit="1" customWidth="1"/>
    <col min="3578" max="3578" width="38.77734375" customWidth="1"/>
    <col min="3579" max="3579" width="15.21875" customWidth="1"/>
    <col min="3580" max="3580" width="12.77734375" customWidth="1"/>
    <col min="3581" max="3581" width="16.5546875" customWidth="1"/>
    <col min="3582" max="3582" width="15" customWidth="1"/>
    <col min="3583" max="3583" width="14.77734375" customWidth="1"/>
    <col min="3584" max="3584" width="13.77734375" customWidth="1"/>
    <col min="3585" max="3585" width="14.77734375" customWidth="1"/>
    <col min="3586" max="3586" width="12.77734375" customWidth="1"/>
    <col min="3587" max="3588" width="12.77734375" bestFit="1" customWidth="1"/>
    <col min="3590" max="3590" width="12.77734375" bestFit="1" customWidth="1"/>
    <col min="3834" max="3834" width="38.77734375" customWidth="1"/>
    <col min="3835" max="3835" width="15.21875" customWidth="1"/>
    <col min="3836" max="3836" width="12.77734375" customWidth="1"/>
    <col min="3837" max="3837" width="16.5546875" customWidth="1"/>
    <col min="3838" max="3838" width="15" customWidth="1"/>
    <col min="3839" max="3839" width="14.77734375" customWidth="1"/>
    <col min="3840" max="3840" width="13.77734375" customWidth="1"/>
    <col min="3841" max="3841" width="14.77734375" customWidth="1"/>
    <col min="3842" max="3842" width="12.77734375" customWidth="1"/>
    <col min="3843" max="3844" width="12.77734375" bestFit="1" customWidth="1"/>
    <col min="3846" max="3846" width="12.77734375" bestFit="1" customWidth="1"/>
    <col min="4090" max="4090" width="38.77734375" customWidth="1"/>
    <col min="4091" max="4091" width="15.21875" customWidth="1"/>
    <col min="4092" max="4092" width="12.77734375" customWidth="1"/>
    <col min="4093" max="4093" width="16.5546875" customWidth="1"/>
    <col min="4094" max="4094" width="15" customWidth="1"/>
    <col min="4095" max="4095" width="14.77734375" customWidth="1"/>
    <col min="4096" max="4096" width="13.77734375" customWidth="1"/>
    <col min="4097" max="4097" width="14.77734375" customWidth="1"/>
    <col min="4098" max="4098" width="12.77734375" customWidth="1"/>
    <col min="4099" max="4100" width="12.77734375" bestFit="1" customWidth="1"/>
    <col min="4102" max="4102" width="12.77734375" bestFit="1" customWidth="1"/>
    <col min="4346" max="4346" width="38.77734375" customWidth="1"/>
    <col min="4347" max="4347" width="15.21875" customWidth="1"/>
    <col min="4348" max="4348" width="12.77734375" customWidth="1"/>
    <col min="4349" max="4349" width="16.5546875" customWidth="1"/>
    <col min="4350" max="4350" width="15" customWidth="1"/>
    <col min="4351" max="4351" width="14.77734375" customWidth="1"/>
    <col min="4352" max="4352" width="13.77734375" customWidth="1"/>
    <col min="4353" max="4353" width="14.77734375" customWidth="1"/>
    <col min="4354" max="4354" width="12.77734375" customWidth="1"/>
    <col min="4355" max="4356" width="12.77734375" bestFit="1" customWidth="1"/>
    <col min="4358" max="4358" width="12.77734375" bestFit="1" customWidth="1"/>
    <col min="4602" max="4602" width="38.77734375" customWidth="1"/>
    <col min="4603" max="4603" width="15.21875" customWidth="1"/>
    <col min="4604" max="4604" width="12.77734375" customWidth="1"/>
    <col min="4605" max="4605" width="16.5546875" customWidth="1"/>
    <col min="4606" max="4606" width="15" customWidth="1"/>
    <col min="4607" max="4607" width="14.77734375" customWidth="1"/>
    <col min="4608" max="4608" width="13.77734375" customWidth="1"/>
    <col min="4609" max="4609" width="14.77734375" customWidth="1"/>
    <col min="4610" max="4610" width="12.77734375" customWidth="1"/>
    <col min="4611" max="4612" width="12.77734375" bestFit="1" customWidth="1"/>
    <col min="4614" max="4614" width="12.77734375" bestFit="1" customWidth="1"/>
    <col min="4858" max="4858" width="38.77734375" customWidth="1"/>
    <col min="4859" max="4859" width="15.21875" customWidth="1"/>
    <col min="4860" max="4860" width="12.77734375" customWidth="1"/>
    <col min="4861" max="4861" width="16.5546875" customWidth="1"/>
    <col min="4862" max="4862" width="15" customWidth="1"/>
    <col min="4863" max="4863" width="14.77734375" customWidth="1"/>
    <col min="4864" max="4864" width="13.77734375" customWidth="1"/>
    <col min="4865" max="4865" width="14.77734375" customWidth="1"/>
    <col min="4866" max="4866" width="12.77734375" customWidth="1"/>
    <col min="4867" max="4868" width="12.77734375" bestFit="1" customWidth="1"/>
    <col min="4870" max="4870" width="12.77734375" bestFit="1" customWidth="1"/>
    <col min="5114" max="5114" width="38.77734375" customWidth="1"/>
    <col min="5115" max="5115" width="15.21875" customWidth="1"/>
    <col min="5116" max="5116" width="12.77734375" customWidth="1"/>
    <col min="5117" max="5117" width="16.5546875" customWidth="1"/>
    <col min="5118" max="5118" width="15" customWidth="1"/>
    <col min="5119" max="5119" width="14.77734375" customWidth="1"/>
    <col min="5120" max="5120" width="13.77734375" customWidth="1"/>
    <col min="5121" max="5121" width="14.77734375" customWidth="1"/>
    <col min="5122" max="5122" width="12.77734375" customWidth="1"/>
    <col min="5123" max="5124" width="12.77734375" bestFit="1" customWidth="1"/>
    <col min="5126" max="5126" width="12.77734375" bestFit="1" customWidth="1"/>
    <col min="5370" max="5370" width="38.77734375" customWidth="1"/>
    <col min="5371" max="5371" width="15.21875" customWidth="1"/>
    <col min="5372" max="5372" width="12.77734375" customWidth="1"/>
    <col min="5373" max="5373" width="16.5546875" customWidth="1"/>
    <col min="5374" max="5374" width="15" customWidth="1"/>
    <col min="5375" max="5375" width="14.77734375" customWidth="1"/>
    <col min="5376" max="5376" width="13.77734375" customWidth="1"/>
    <col min="5377" max="5377" width="14.77734375" customWidth="1"/>
    <col min="5378" max="5378" width="12.77734375" customWidth="1"/>
    <col min="5379" max="5380" width="12.77734375" bestFit="1" customWidth="1"/>
    <col min="5382" max="5382" width="12.77734375" bestFit="1" customWidth="1"/>
    <col min="5626" max="5626" width="38.77734375" customWidth="1"/>
    <col min="5627" max="5627" width="15.21875" customWidth="1"/>
    <col min="5628" max="5628" width="12.77734375" customWidth="1"/>
    <col min="5629" max="5629" width="16.5546875" customWidth="1"/>
    <col min="5630" max="5630" width="15" customWidth="1"/>
    <col min="5631" max="5631" width="14.77734375" customWidth="1"/>
    <col min="5632" max="5632" width="13.77734375" customWidth="1"/>
    <col min="5633" max="5633" width="14.77734375" customWidth="1"/>
    <col min="5634" max="5634" width="12.77734375" customWidth="1"/>
    <col min="5635" max="5636" width="12.77734375" bestFit="1" customWidth="1"/>
    <col min="5638" max="5638" width="12.77734375" bestFit="1" customWidth="1"/>
    <col min="5882" max="5882" width="38.77734375" customWidth="1"/>
    <col min="5883" max="5883" width="15.21875" customWidth="1"/>
    <col min="5884" max="5884" width="12.77734375" customWidth="1"/>
    <col min="5885" max="5885" width="16.5546875" customWidth="1"/>
    <col min="5886" max="5886" width="15" customWidth="1"/>
    <col min="5887" max="5887" width="14.77734375" customWidth="1"/>
    <col min="5888" max="5888" width="13.77734375" customWidth="1"/>
    <col min="5889" max="5889" width="14.77734375" customWidth="1"/>
    <col min="5890" max="5890" width="12.77734375" customWidth="1"/>
    <col min="5891" max="5892" width="12.77734375" bestFit="1" customWidth="1"/>
    <col min="5894" max="5894" width="12.77734375" bestFit="1" customWidth="1"/>
    <col min="6138" max="6138" width="38.77734375" customWidth="1"/>
    <col min="6139" max="6139" width="15.21875" customWidth="1"/>
    <col min="6140" max="6140" width="12.77734375" customWidth="1"/>
    <col min="6141" max="6141" width="16.5546875" customWidth="1"/>
    <col min="6142" max="6142" width="15" customWidth="1"/>
    <col min="6143" max="6143" width="14.77734375" customWidth="1"/>
    <col min="6144" max="6144" width="13.77734375" customWidth="1"/>
    <col min="6145" max="6145" width="14.77734375" customWidth="1"/>
    <col min="6146" max="6146" width="12.77734375" customWidth="1"/>
    <col min="6147" max="6148" width="12.77734375" bestFit="1" customWidth="1"/>
    <col min="6150" max="6150" width="12.77734375" bestFit="1" customWidth="1"/>
    <col min="6394" max="6394" width="38.77734375" customWidth="1"/>
    <col min="6395" max="6395" width="15.21875" customWidth="1"/>
    <col min="6396" max="6396" width="12.77734375" customWidth="1"/>
    <col min="6397" max="6397" width="16.5546875" customWidth="1"/>
    <col min="6398" max="6398" width="15" customWidth="1"/>
    <col min="6399" max="6399" width="14.77734375" customWidth="1"/>
    <col min="6400" max="6400" width="13.77734375" customWidth="1"/>
    <col min="6401" max="6401" width="14.77734375" customWidth="1"/>
    <col min="6402" max="6402" width="12.77734375" customWidth="1"/>
    <col min="6403" max="6404" width="12.77734375" bestFit="1" customWidth="1"/>
    <col min="6406" max="6406" width="12.77734375" bestFit="1" customWidth="1"/>
    <col min="6650" max="6650" width="38.77734375" customWidth="1"/>
    <col min="6651" max="6651" width="15.21875" customWidth="1"/>
    <col min="6652" max="6652" width="12.77734375" customWidth="1"/>
    <col min="6653" max="6653" width="16.5546875" customWidth="1"/>
    <col min="6654" max="6654" width="15" customWidth="1"/>
    <col min="6655" max="6655" width="14.77734375" customWidth="1"/>
    <col min="6656" max="6656" width="13.77734375" customWidth="1"/>
    <col min="6657" max="6657" width="14.77734375" customWidth="1"/>
    <col min="6658" max="6658" width="12.77734375" customWidth="1"/>
    <col min="6659" max="6660" width="12.77734375" bestFit="1" customWidth="1"/>
    <col min="6662" max="6662" width="12.77734375" bestFit="1" customWidth="1"/>
    <col min="6906" max="6906" width="38.77734375" customWidth="1"/>
    <col min="6907" max="6907" width="15.21875" customWidth="1"/>
    <col min="6908" max="6908" width="12.77734375" customWidth="1"/>
    <col min="6909" max="6909" width="16.5546875" customWidth="1"/>
    <col min="6910" max="6910" width="15" customWidth="1"/>
    <col min="6911" max="6911" width="14.77734375" customWidth="1"/>
    <col min="6912" max="6912" width="13.77734375" customWidth="1"/>
    <col min="6913" max="6913" width="14.77734375" customWidth="1"/>
    <col min="6914" max="6914" width="12.77734375" customWidth="1"/>
    <col min="6915" max="6916" width="12.77734375" bestFit="1" customWidth="1"/>
    <col min="6918" max="6918" width="12.77734375" bestFit="1" customWidth="1"/>
    <col min="7162" max="7162" width="38.77734375" customWidth="1"/>
    <col min="7163" max="7163" width="15.21875" customWidth="1"/>
    <col min="7164" max="7164" width="12.77734375" customWidth="1"/>
    <col min="7165" max="7165" width="16.5546875" customWidth="1"/>
    <col min="7166" max="7166" width="15" customWidth="1"/>
    <col min="7167" max="7167" width="14.77734375" customWidth="1"/>
    <col min="7168" max="7168" width="13.77734375" customWidth="1"/>
    <col min="7169" max="7169" width="14.77734375" customWidth="1"/>
    <col min="7170" max="7170" width="12.77734375" customWidth="1"/>
    <col min="7171" max="7172" width="12.77734375" bestFit="1" customWidth="1"/>
    <col min="7174" max="7174" width="12.77734375" bestFit="1" customWidth="1"/>
    <col min="7418" max="7418" width="38.77734375" customWidth="1"/>
    <col min="7419" max="7419" width="15.21875" customWidth="1"/>
    <col min="7420" max="7420" width="12.77734375" customWidth="1"/>
    <col min="7421" max="7421" width="16.5546875" customWidth="1"/>
    <col min="7422" max="7422" width="15" customWidth="1"/>
    <col min="7423" max="7423" width="14.77734375" customWidth="1"/>
    <col min="7424" max="7424" width="13.77734375" customWidth="1"/>
    <col min="7425" max="7425" width="14.77734375" customWidth="1"/>
    <col min="7426" max="7426" width="12.77734375" customWidth="1"/>
    <col min="7427" max="7428" width="12.77734375" bestFit="1" customWidth="1"/>
    <col min="7430" max="7430" width="12.77734375" bestFit="1" customWidth="1"/>
    <col min="7674" max="7674" width="38.77734375" customWidth="1"/>
    <col min="7675" max="7675" width="15.21875" customWidth="1"/>
    <col min="7676" max="7676" width="12.77734375" customWidth="1"/>
    <col min="7677" max="7677" width="16.5546875" customWidth="1"/>
    <col min="7678" max="7678" width="15" customWidth="1"/>
    <col min="7679" max="7679" width="14.77734375" customWidth="1"/>
    <col min="7680" max="7680" width="13.77734375" customWidth="1"/>
    <col min="7681" max="7681" width="14.77734375" customWidth="1"/>
    <col min="7682" max="7682" width="12.77734375" customWidth="1"/>
    <col min="7683" max="7684" width="12.77734375" bestFit="1" customWidth="1"/>
    <col min="7686" max="7686" width="12.77734375" bestFit="1" customWidth="1"/>
    <col min="7930" max="7930" width="38.77734375" customWidth="1"/>
    <col min="7931" max="7931" width="15.21875" customWidth="1"/>
    <col min="7932" max="7932" width="12.77734375" customWidth="1"/>
    <col min="7933" max="7933" width="16.5546875" customWidth="1"/>
    <col min="7934" max="7934" width="15" customWidth="1"/>
    <col min="7935" max="7935" width="14.77734375" customWidth="1"/>
    <col min="7936" max="7936" width="13.77734375" customWidth="1"/>
    <col min="7937" max="7937" width="14.77734375" customWidth="1"/>
    <col min="7938" max="7938" width="12.77734375" customWidth="1"/>
    <col min="7939" max="7940" width="12.77734375" bestFit="1" customWidth="1"/>
    <col min="7942" max="7942" width="12.77734375" bestFit="1" customWidth="1"/>
    <col min="8186" max="8186" width="38.77734375" customWidth="1"/>
    <col min="8187" max="8187" width="15.21875" customWidth="1"/>
    <col min="8188" max="8188" width="12.77734375" customWidth="1"/>
    <col min="8189" max="8189" width="16.5546875" customWidth="1"/>
    <col min="8190" max="8190" width="15" customWidth="1"/>
    <col min="8191" max="8191" width="14.77734375" customWidth="1"/>
    <col min="8192" max="8192" width="13.77734375" customWidth="1"/>
    <col min="8193" max="8193" width="14.77734375" customWidth="1"/>
    <col min="8194" max="8194" width="12.77734375" customWidth="1"/>
    <col min="8195" max="8196" width="12.77734375" bestFit="1" customWidth="1"/>
    <col min="8198" max="8198" width="12.77734375" bestFit="1" customWidth="1"/>
    <col min="8442" max="8442" width="38.77734375" customWidth="1"/>
    <col min="8443" max="8443" width="15.21875" customWidth="1"/>
    <col min="8444" max="8444" width="12.77734375" customWidth="1"/>
    <col min="8445" max="8445" width="16.5546875" customWidth="1"/>
    <col min="8446" max="8446" width="15" customWidth="1"/>
    <col min="8447" max="8447" width="14.77734375" customWidth="1"/>
    <col min="8448" max="8448" width="13.77734375" customWidth="1"/>
    <col min="8449" max="8449" width="14.77734375" customWidth="1"/>
    <col min="8450" max="8450" width="12.77734375" customWidth="1"/>
    <col min="8451" max="8452" width="12.77734375" bestFit="1" customWidth="1"/>
    <col min="8454" max="8454" width="12.77734375" bestFit="1" customWidth="1"/>
    <col min="8698" max="8698" width="38.77734375" customWidth="1"/>
    <col min="8699" max="8699" width="15.21875" customWidth="1"/>
    <col min="8700" max="8700" width="12.77734375" customWidth="1"/>
    <col min="8701" max="8701" width="16.5546875" customWidth="1"/>
    <col min="8702" max="8702" width="15" customWidth="1"/>
    <col min="8703" max="8703" width="14.77734375" customWidth="1"/>
    <col min="8704" max="8704" width="13.77734375" customWidth="1"/>
    <col min="8705" max="8705" width="14.77734375" customWidth="1"/>
    <col min="8706" max="8706" width="12.77734375" customWidth="1"/>
    <col min="8707" max="8708" width="12.77734375" bestFit="1" customWidth="1"/>
    <col min="8710" max="8710" width="12.77734375" bestFit="1" customWidth="1"/>
    <col min="8954" max="8954" width="38.77734375" customWidth="1"/>
    <col min="8955" max="8955" width="15.21875" customWidth="1"/>
    <col min="8956" max="8956" width="12.77734375" customWidth="1"/>
    <col min="8957" max="8957" width="16.5546875" customWidth="1"/>
    <col min="8958" max="8958" width="15" customWidth="1"/>
    <col min="8959" max="8959" width="14.77734375" customWidth="1"/>
    <col min="8960" max="8960" width="13.77734375" customWidth="1"/>
    <col min="8961" max="8961" width="14.77734375" customWidth="1"/>
    <col min="8962" max="8962" width="12.77734375" customWidth="1"/>
    <col min="8963" max="8964" width="12.77734375" bestFit="1" customWidth="1"/>
    <col min="8966" max="8966" width="12.77734375" bestFit="1" customWidth="1"/>
    <col min="9210" max="9210" width="38.77734375" customWidth="1"/>
    <col min="9211" max="9211" width="15.21875" customWidth="1"/>
    <col min="9212" max="9212" width="12.77734375" customWidth="1"/>
    <col min="9213" max="9213" width="16.5546875" customWidth="1"/>
    <col min="9214" max="9214" width="15" customWidth="1"/>
    <col min="9215" max="9215" width="14.77734375" customWidth="1"/>
    <col min="9216" max="9216" width="13.77734375" customWidth="1"/>
    <col min="9217" max="9217" width="14.77734375" customWidth="1"/>
    <col min="9218" max="9218" width="12.77734375" customWidth="1"/>
    <col min="9219" max="9220" width="12.77734375" bestFit="1" customWidth="1"/>
    <col min="9222" max="9222" width="12.77734375" bestFit="1" customWidth="1"/>
    <col min="9466" max="9466" width="38.77734375" customWidth="1"/>
    <col min="9467" max="9467" width="15.21875" customWidth="1"/>
    <col min="9468" max="9468" width="12.77734375" customWidth="1"/>
    <col min="9469" max="9469" width="16.5546875" customWidth="1"/>
    <col min="9470" max="9470" width="15" customWidth="1"/>
    <col min="9471" max="9471" width="14.77734375" customWidth="1"/>
    <col min="9472" max="9472" width="13.77734375" customWidth="1"/>
    <col min="9473" max="9473" width="14.77734375" customWidth="1"/>
    <col min="9474" max="9474" width="12.77734375" customWidth="1"/>
    <col min="9475" max="9476" width="12.77734375" bestFit="1" customWidth="1"/>
    <col min="9478" max="9478" width="12.77734375" bestFit="1" customWidth="1"/>
    <col min="9722" max="9722" width="38.77734375" customWidth="1"/>
    <col min="9723" max="9723" width="15.21875" customWidth="1"/>
    <col min="9724" max="9724" width="12.77734375" customWidth="1"/>
    <col min="9725" max="9725" width="16.5546875" customWidth="1"/>
    <col min="9726" max="9726" width="15" customWidth="1"/>
    <col min="9727" max="9727" width="14.77734375" customWidth="1"/>
    <col min="9728" max="9728" width="13.77734375" customWidth="1"/>
    <col min="9729" max="9729" width="14.77734375" customWidth="1"/>
    <col min="9730" max="9730" width="12.77734375" customWidth="1"/>
    <col min="9731" max="9732" width="12.77734375" bestFit="1" customWidth="1"/>
    <col min="9734" max="9734" width="12.77734375" bestFit="1" customWidth="1"/>
    <col min="9978" max="9978" width="38.77734375" customWidth="1"/>
    <col min="9979" max="9979" width="15.21875" customWidth="1"/>
    <col min="9980" max="9980" width="12.77734375" customWidth="1"/>
    <col min="9981" max="9981" width="16.5546875" customWidth="1"/>
    <col min="9982" max="9982" width="15" customWidth="1"/>
    <col min="9983" max="9983" width="14.77734375" customWidth="1"/>
    <col min="9984" max="9984" width="13.77734375" customWidth="1"/>
    <col min="9985" max="9985" width="14.77734375" customWidth="1"/>
    <col min="9986" max="9986" width="12.77734375" customWidth="1"/>
    <col min="9987" max="9988" width="12.77734375" bestFit="1" customWidth="1"/>
    <col min="9990" max="9990" width="12.77734375" bestFit="1" customWidth="1"/>
    <col min="10234" max="10234" width="38.77734375" customWidth="1"/>
    <col min="10235" max="10235" width="15.21875" customWidth="1"/>
    <col min="10236" max="10236" width="12.77734375" customWidth="1"/>
    <col min="10237" max="10237" width="16.5546875" customWidth="1"/>
    <col min="10238" max="10238" width="15" customWidth="1"/>
    <col min="10239" max="10239" width="14.77734375" customWidth="1"/>
    <col min="10240" max="10240" width="13.77734375" customWidth="1"/>
    <col min="10241" max="10241" width="14.77734375" customWidth="1"/>
    <col min="10242" max="10242" width="12.77734375" customWidth="1"/>
    <col min="10243" max="10244" width="12.77734375" bestFit="1" customWidth="1"/>
    <col min="10246" max="10246" width="12.77734375" bestFit="1" customWidth="1"/>
    <col min="10490" max="10490" width="38.77734375" customWidth="1"/>
    <col min="10491" max="10491" width="15.21875" customWidth="1"/>
    <col min="10492" max="10492" width="12.77734375" customWidth="1"/>
    <col min="10493" max="10493" width="16.5546875" customWidth="1"/>
    <col min="10494" max="10494" width="15" customWidth="1"/>
    <col min="10495" max="10495" width="14.77734375" customWidth="1"/>
    <col min="10496" max="10496" width="13.77734375" customWidth="1"/>
    <col min="10497" max="10497" width="14.77734375" customWidth="1"/>
    <col min="10498" max="10498" width="12.77734375" customWidth="1"/>
    <col min="10499" max="10500" width="12.77734375" bestFit="1" customWidth="1"/>
    <col min="10502" max="10502" width="12.77734375" bestFit="1" customWidth="1"/>
    <col min="10746" max="10746" width="38.77734375" customWidth="1"/>
    <col min="10747" max="10747" width="15.21875" customWidth="1"/>
    <col min="10748" max="10748" width="12.77734375" customWidth="1"/>
    <col min="10749" max="10749" width="16.5546875" customWidth="1"/>
    <col min="10750" max="10750" width="15" customWidth="1"/>
    <col min="10751" max="10751" width="14.77734375" customWidth="1"/>
    <col min="10752" max="10752" width="13.77734375" customWidth="1"/>
    <col min="10753" max="10753" width="14.77734375" customWidth="1"/>
    <col min="10754" max="10754" width="12.77734375" customWidth="1"/>
    <col min="10755" max="10756" width="12.77734375" bestFit="1" customWidth="1"/>
    <col min="10758" max="10758" width="12.77734375" bestFit="1" customWidth="1"/>
    <col min="11002" max="11002" width="38.77734375" customWidth="1"/>
    <col min="11003" max="11003" width="15.21875" customWidth="1"/>
    <col min="11004" max="11004" width="12.77734375" customWidth="1"/>
    <col min="11005" max="11005" width="16.5546875" customWidth="1"/>
    <col min="11006" max="11006" width="15" customWidth="1"/>
    <col min="11007" max="11007" width="14.77734375" customWidth="1"/>
    <col min="11008" max="11008" width="13.77734375" customWidth="1"/>
    <col min="11009" max="11009" width="14.77734375" customWidth="1"/>
    <col min="11010" max="11010" width="12.77734375" customWidth="1"/>
    <col min="11011" max="11012" width="12.77734375" bestFit="1" customWidth="1"/>
    <col min="11014" max="11014" width="12.77734375" bestFit="1" customWidth="1"/>
    <col min="11258" max="11258" width="38.77734375" customWidth="1"/>
    <col min="11259" max="11259" width="15.21875" customWidth="1"/>
    <col min="11260" max="11260" width="12.77734375" customWidth="1"/>
    <col min="11261" max="11261" width="16.5546875" customWidth="1"/>
    <col min="11262" max="11262" width="15" customWidth="1"/>
    <col min="11263" max="11263" width="14.77734375" customWidth="1"/>
    <col min="11264" max="11264" width="13.77734375" customWidth="1"/>
    <col min="11265" max="11265" width="14.77734375" customWidth="1"/>
    <col min="11266" max="11266" width="12.77734375" customWidth="1"/>
    <col min="11267" max="11268" width="12.77734375" bestFit="1" customWidth="1"/>
    <col min="11270" max="11270" width="12.77734375" bestFit="1" customWidth="1"/>
    <col min="11514" max="11514" width="38.77734375" customWidth="1"/>
    <col min="11515" max="11515" width="15.21875" customWidth="1"/>
    <col min="11516" max="11516" width="12.77734375" customWidth="1"/>
    <col min="11517" max="11517" width="16.5546875" customWidth="1"/>
    <col min="11518" max="11518" width="15" customWidth="1"/>
    <col min="11519" max="11519" width="14.77734375" customWidth="1"/>
    <col min="11520" max="11520" width="13.77734375" customWidth="1"/>
    <col min="11521" max="11521" width="14.77734375" customWidth="1"/>
    <col min="11522" max="11522" width="12.77734375" customWidth="1"/>
    <col min="11523" max="11524" width="12.77734375" bestFit="1" customWidth="1"/>
    <col min="11526" max="11526" width="12.77734375" bestFit="1" customWidth="1"/>
    <col min="11770" max="11770" width="38.77734375" customWidth="1"/>
    <col min="11771" max="11771" width="15.21875" customWidth="1"/>
    <col min="11772" max="11772" width="12.77734375" customWidth="1"/>
    <col min="11773" max="11773" width="16.5546875" customWidth="1"/>
    <col min="11774" max="11774" width="15" customWidth="1"/>
    <col min="11775" max="11775" width="14.77734375" customWidth="1"/>
    <col min="11776" max="11776" width="13.77734375" customWidth="1"/>
    <col min="11777" max="11777" width="14.77734375" customWidth="1"/>
    <col min="11778" max="11778" width="12.77734375" customWidth="1"/>
    <col min="11779" max="11780" width="12.77734375" bestFit="1" customWidth="1"/>
    <col min="11782" max="11782" width="12.77734375" bestFit="1" customWidth="1"/>
    <col min="12026" max="12026" width="38.77734375" customWidth="1"/>
    <col min="12027" max="12027" width="15.21875" customWidth="1"/>
    <col min="12028" max="12028" width="12.77734375" customWidth="1"/>
    <col min="12029" max="12029" width="16.5546875" customWidth="1"/>
    <col min="12030" max="12030" width="15" customWidth="1"/>
    <col min="12031" max="12031" width="14.77734375" customWidth="1"/>
    <col min="12032" max="12032" width="13.77734375" customWidth="1"/>
    <col min="12033" max="12033" width="14.77734375" customWidth="1"/>
    <col min="12034" max="12034" width="12.77734375" customWidth="1"/>
    <col min="12035" max="12036" width="12.77734375" bestFit="1" customWidth="1"/>
    <col min="12038" max="12038" width="12.77734375" bestFit="1" customWidth="1"/>
    <col min="12282" max="12282" width="38.77734375" customWidth="1"/>
    <col min="12283" max="12283" width="15.21875" customWidth="1"/>
    <col min="12284" max="12284" width="12.77734375" customWidth="1"/>
    <col min="12285" max="12285" width="16.5546875" customWidth="1"/>
    <col min="12286" max="12286" width="15" customWidth="1"/>
    <col min="12287" max="12287" width="14.77734375" customWidth="1"/>
    <col min="12288" max="12288" width="13.77734375" customWidth="1"/>
    <col min="12289" max="12289" width="14.77734375" customWidth="1"/>
    <col min="12290" max="12290" width="12.77734375" customWidth="1"/>
    <col min="12291" max="12292" width="12.77734375" bestFit="1" customWidth="1"/>
    <col min="12294" max="12294" width="12.77734375" bestFit="1" customWidth="1"/>
    <col min="12538" max="12538" width="38.77734375" customWidth="1"/>
    <col min="12539" max="12539" width="15.21875" customWidth="1"/>
    <col min="12540" max="12540" width="12.77734375" customWidth="1"/>
    <col min="12541" max="12541" width="16.5546875" customWidth="1"/>
    <col min="12542" max="12542" width="15" customWidth="1"/>
    <col min="12543" max="12543" width="14.77734375" customWidth="1"/>
    <col min="12544" max="12544" width="13.77734375" customWidth="1"/>
    <col min="12545" max="12545" width="14.77734375" customWidth="1"/>
    <col min="12546" max="12546" width="12.77734375" customWidth="1"/>
    <col min="12547" max="12548" width="12.77734375" bestFit="1" customWidth="1"/>
    <col min="12550" max="12550" width="12.77734375" bestFit="1" customWidth="1"/>
    <col min="12794" max="12794" width="38.77734375" customWidth="1"/>
    <col min="12795" max="12795" width="15.21875" customWidth="1"/>
    <col min="12796" max="12796" width="12.77734375" customWidth="1"/>
    <col min="12797" max="12797" width="16.5546875" customWidth="1"/>
    <col min="12798" max="12798" width="15" customWidth="1"/>
    <col min="12799" max="12799" width="14.77734375" customWidth="1"/>
    <col min="12800" max="12800" width="13.77734375" customWidth="1"/>
    <col min="12801" max="12801" width="14.77734375" customWidth="1"/>
    <col min="12802" max="12802" width="12.77734375" customWidth="1"/>
    <col min="12803" max="12804" width="12.77734375" bestFit="1" customWidth="1"/>
    <col min="12806" max="12806" width="12.77734375" bestFit="1" customWidth="1"/>
    <col min="13050" max="13050" width="38.77734375" customWidth="1"/>
    <col min="13051" max="13051" width="15.21875" customWidth="1"/>
    <col min="13052" max="13052" width="12.77734375" customWidth="1"/>
    <col min="13053" max="13053" width="16.5546875" customWidth="1"/>
    <col min="13054" max="13054" width="15" customWidth="1"/>
    <col min="13055" max="13055" width="14.77734375" customWidth="1"/>
    <col min="13056" max="13056" width="13.77734375" customWidth="1"/>
    <col min="13057" max="13057" width="14.77734375" customWidth="1"/>
    <col min="13058" max="13058" width="12.77734375" customWidth="1"/>
    <col min="13059" max="13060" width="12.77734375" bestFit="1" customWidth="1"/>
    <col min="13062" max="13062" width="12.77734375" bestFit="1" customWidth="1"/>
    <col min="13306" max="13306" width="38.77734375" customWidth="1"/>
    <col min="13307" max="13307" width="15.21875" customWidth="1"/>
    <col min="13308" max="13308" width="12.77734375" customWidth="1"/>
    <col min="13309" max="13309" width="16.5546875" customWidth="1"/>
    <col min="13310" max="13310" width="15" customWidth="1"/>
    <col min="13311" max="13311" width="14.77734375" customWidth="1"/>
    <col min="13312" max="13312" width="13.77734375" customWidth="1"/>
    <col min="13313" max="13313" width="14.77734375" customWidth="1"/>
    <col min="13314" max="13314" width="12.77734375" customWidth="1"/>
    <col min="13315" max="13316" width="12.77734375" bestFit="1" customWidth="1"/>
    <col min="13318" max="13318" width="12.77734375" bestFit="1" customWidth="1"/>
    <col min="13562" max="13562" width="38.77734375" customWidth="1"/>
    <col min="13563" max="13563" width="15.21875" customWidth="1"/>
    <col min="13564" max="13564" width="12.77734375" customWidth="1"/>
    <col min="13565" max="13565" width="16.5546875" customWidth="1"/>
    <col min="13566" max="13566" width="15" customWidth="1"/>
    <col min="13567" max="13567" width="14.77734375" customWidth="1"/>
    <col min="13568" max="13568" width="13.77734375" customWidth="1"/>
    <col min="13569" max="13569" width="14.77734375" customWidth="1"/>
    <col min="13570" max="13570" width="12.77734375" customWidth="1"/>
    <col min="13571" max="13572" width="12.77734375" bestFit="1" customWidth="1"/>
    <col min="13574" max="13574" width="12.77734375" bestFit="1" customWidth="1"/>
    <col min="13818" max="13818" width="38.77734375" customWidth="1"/>
    <col min="13819" max="13819" width="15.21875" customWidth="1"/>
    <col min="13820" max="13820" width="12.77734375" customWidth="1"/>
    <col min="13821" max="13821" width="16.5546875" customWidth="1"/>
    <col min="13822" max="13822" width="15" customWidth="1"/>
    <col min="13823" max="13823" width="14.77734375" customWidth="1"/>
    <col min="13824" max="13824" width="13.77734375" customWidth="1"/>
    <col min="13825" max="13825" width="14.77734375" customWidth="1"/>
    <col min="13826" max="13826" width="12.77734375" customWidth="1"/>
    <col min="13827" max="13828" width="12.77734375" bestFit="1" customWidth="1"/>
    <col min="13830" max="13830" width="12.77734375" bestFit="1" customWidth="1"/>
    <col min="14074" max="14074" width="38.77734375" customWidth="1"/>
    <col min="14075" max="14075" width="15.21875" customWidth="1"/>
    <col min="14076" max="14076" width="12.77734375" customWidth="1"/>
    <col min="14077" max="14077" width="16.5546875" customWidth="1"/>
    <col min="14078" max="14078" width="15" customWidth="1"/>
    <col min="14079" max="14079" width="14.77734375" customWidth="1"/>
    <col min="14080" max="14080" width="13.77734375" customWidth="1"/>
    <col min="14081" max="14081" width="14.77734375" customWidth="1"/>
    <col min="14082" max="14082" width="12.77734375" customWidth="1"/>
    <col min="14083" max="14084" width="12.77734375" bestFit="1" customWidth="1"/>
    <col min="14086" max="14086" width="12.77734375" bestFit="1" customWidth="1"/>
    <col min="14330" max="14330" width="38.77734375" customWidth="1"/>
    <col min="14331" max="14331" width="15.21875" customWidth="1"/>
    <col min="14332" max="14332" width="12.77734375" customWidth="1"/>
    <col min="14333" max="14333" width="16.5546875" customWidth="1"/>
    <col min="14334" max="14334" width="15" customWidth="1"/>
    <col min="14335" max="14335" width="14.77734375" customWidth="1"/>
    <col min="14336" max="14336" width="13.77734375" customWidth="1"/>
    <col min="14337" max="14337" width="14.77734375" customWidth="1"/>
    <col min="14338" max="14338" width="12.77734375" customWidth="1"/>
    <col min="14339" max="14340" width="12.77734375" bestFit="1" customWidth="1"/>
    <col min="14342" max="14342" width="12.77734375" bestFit="1" customWidth="1"/>
    <col min="14586" max="14586" width="38.77734375" customWidth="1"/>
    <col min="14587" max="14587" width="15.21875" customWidth="1"/>
    <col min="14588" max="14588" width="12.77734375" customWidth="1"/>
    <col min="14589" max="14589" width="16.5546875" customWidth="1"/>
    <col min="14590" max="14590" width="15" customWidth="1"/>
    <col min="14591" max="14591" width="14.77734375" customWidth="1"/>
    <col min="14592" max="14592" width="13.77734375" customWidth="1"/>
    <col min="14593" max="14593" width="14.77734375" customWidth="1"/>
    <col min="14594" max="14594" width="12.77734375" customWidth="1"/>
    <col min="14595" max="14596" width="12.77734375" bestFit="1" customWidth="1"/>
    <col min="14598" max="14598" width="12.77734375" bestFit="1" customWidth="1"/>
    <col min="14842" max="14842" width="38.77734375" customWidth="1"/>
    <col min="14843" max="14843" width="15.21875" customWidth="1"/>
    <col min="14844" max="14844" width="12.77734375" customWidth="1"/>
    <col min="14845" max="14845" width="16.5546875" customWidth="1"/>
    <col min="14846" max="14846" width="15" customWidth="1"/>
    <col min="14847" max="14847" width="14.77734375" customWidth="1"/>
    <col min="14848" max="14848" width="13.77734375" customWidth="1"/>
    <col min="14849" max="14849" width="14.77734375" customWidth="1"/>
    <col min="14850" max="14850" width="12.77734375" customWidth="1"/>
    <col min="14851" max="14852" width="12.77734375" bestFit="1" customWidth="1"/>
    <col min="14854" max="14854" width="12.77734375" bestFit="1" customWidth="1"/>
    <col min="15098" max="15098" width="38.77734375" customWidth="1"/>
    <col min="15099" max="15099" width="15.21875" customWidth="1"/>
    <col min="15100" max="15100" width="12.77734375" customWidth="1"/>
    <col min="15101" max="15101" width="16.5546875" customWidth="1"/>
    <col min="15102" max="15102" width="15" customWidth="1"/>
    <col min="15103" max="15103" width="14.77734375" customWidth="1"/>
    <col min="15104" max="15104" width="13.77734375" customWidth="1"/>
    <col min="15105" max="15105" width="14.77734375" customWidth="1"/>
    <col min="15106" max="15106" width="12.77734375" customWidth="1"/>
    <col min="15107" max="15108" width="12.77734375" bestFit="1" customWidth="1"/>
    <col min="15110" max="15110" width="12.77734375" bestFit="1" customWidth="1"/>
    <col min="15354" max="15354" width="38.77734375" customWidth="1"/>
    <col min="15355" max="15355" width="15.21875" customWidth="1"/>
    <col min="15356" max="15356" width="12.77734375" customWidth="1"/>
    <col min="15357" max="15357" width="16.5546875" customWidth="1"/>
    <col min="15358" max="15358" width="15" customWidth="1"/>
    <col min="15359" max="15359" width="14.77734375" customWidth="1"/>
    <col min="15360" max="15360" width="13.77734375" customWidth="1"/>
    <col min="15361" max="15361" width="14.77734375" customWidth="1"/>
    <col min="15362" max="15362" width="12.77734375" customWidth="1"/>
    <col min="15363" max="15364" width="12.77734375" bestFit="1" customWidth="1"/>
    <col min="15366" max="15366" width="12.77734375" bestFit="1" customWidth="1"/>
    <col min="15610" max="15610" width="38.77734375" customWidth="1"/>
    <col min="15611" max="15611" width="15.21875" customWidth="1"/>
    <col min="15612" max="15612" width="12.77734375" customWidth="1"/>
    <col min="15613" max="15613" width="16.5546875" customWidth="1"/>
    <col min="15614" max="15614" width="15" customWidth="1"/>
    <col min="15615" max="15615" width="14.77734375" customWidth="1"/>
    <col min="15616" max="15616" width="13.77734375" customWidth="1"/>
    <col min="15617" max="15617" width="14.77734375" customWidth="1"/>
    <col min="15618" max="15618" width="12.77734375" customWidth="1"/>
    <col min="15619" max="15620" width="12.77734375" bestFit="1" customWidth="1"/>
    <col min="15622" max="15622" width="12.77734375" bestFit="1" customWidth="1"/>
    <col min="15866" max="15866" width="38.77734375" customWidth="1"/>
    <col min="15867" max="15867" width="15.21875" customWidth="1"/>
    <col min="15868" max="15868" width="12.77734375" customWidth="1"/>
    <col min="15869" max="15869" width="16.5546875" customWidth="1"/>
    <col min="15870" max="15870" width="15" customWidth="1"/>
    <col min="15871" max="15871" width="14.77734375" customWidth="1"/>
    <col min="15872" max="15872" width="13.77734375" customWidth="1"/>
    <col min="15873" max="15873" width="14.77734375" customWidth="1"/>
    <col min="15874" max="15874" width="12.77734375" customWidth="1"/>
    <col min="15875" max="15876" width="12.77734375" bestFit="1" customWidth="1"/>
    <col min="15878" max="15878" width="12.77734375" bestFit="1" customWidth="1"/>
    <col min="16122" max="16122" width="38.77734375" customWidth="1"/>
    <col min="16123" max="16123" width="15.21875" customWidth="1"/>
    <col min="16124" max="16124" width="12.77734375" customWidth="1"/>
    <col min="16125" max="16125" width="16.5546875" customWidth="1"/>
    <col min="16126" max="16126" width="15" customWidth="1"/>
    <col min="16127" max="16127" width="14.77734375" customWidth="1"/>
    <col min="16128" max="16128" width="13.77734375" customWidth="1"/>
    <col min="16129" max="16129" width="14.77734375" customWidth="1"/>
    <col min="16130" max="16130" width="12.77734375" customWidth="1"/>
    <col min="16131" max="16132" width="12.77734375" bestFit="1" customWidth="1"/>
    <col min="16134" max="16134" width="12.77734375" bestFit="1" customWidth="1"/>
  </cols>
  <sheetData>
    <row r="1" spans="1:7" s="312" customFormat="1" ht="60" customHeight="1" x14ac:dyDescent="0.3">
      <c r="A1" s="447" t="s">
        <v>416</v>
      </c>
      <c r="B1" s="448"/>
      <c r="C1" s="448"/>
      <c r="D1" s="448"/>
      <c r="E1" s="448"/>
      <c r="F1" s="448"/>
      <c r="G1" s="449"/>
    </row>
    <row r="2" spans="1:7" s="312" customFormat="1" ht="13.8" customHeight="1" x14ac:dyDescent="0.3">
      <c r="A2" s="447" t="s">
        <v>359</v>
      </c>
      <c r="B2" s="450"/>
      <c r="C2" s="450"/>
      <c r="D2" s="450"/>
      <c r="E2" s="450"/>
      <c r="F2" s="450"/>
      <c r="G2" s="451"/>
    </row>
    <row r="3" spans="1:7" s="312" customFormat="1" ht="13.8" customHeight="1" x14ac:dyDescent="0.35">
      <c r="A3" s="349"/>
      <c r="B3" s="350"/>
      <c r="C3" s="350"/>
      <c r="D3" s="350"/>
      <c r="E3" s="351"/>
      <c r="F3" s="352"/>
      <c r="G3" s="352"/>
    </row>
    <row r="4" spans="1:7" ht="13.8" customHeight="1" x14ac:dyDescent="0.3">
      <c r="A4" s="325" t="s">
        <v>361</v>
      </c>
      <c r="B4" s="347" t="s">
        <v>360</v>
      </c>
      <c r="C4" s="322" t="s">
        <v>325</v>
      </c>
      <c r="D4" s="353">
        <f>ENCARREGADO!C149</f>
        <v>4640.1154743589996</v>
      </c>
      <c r="E4" s="348"/>
      <c r="F4" s="354"/>
      <c r="G4" s="354"/>
    </row>
    <row r="5" spans="1:7" ht="13.8" customHeight="1" x14ac:dyDescent="0.35">
      <c r="C5" s="322" t="s">
        <v>326</v>
      </c>
      <c r="D5" s="353">
        <f>SERVENTE!C148</f>
        <v>4570.3097390000003</v>
      </c>
      <c r="E5" s="354"/>
      <c r="F5" s="354"/>
      <c r="G5" s="354"/>
    </row>
    <row r="6" spans="1:7" ht="13.8" customHeight="1" x14ac:dyDescent="0.35">
      <c r="E6" s="354"/>
      <c r="F6" s="354"/>
      <c r="G6" s="354"/>
    </row>
    <row r="7" spans="1:7" ht="13.8" customHeight="1" x14ac:dyDescent="0.3">
      <c r="A7" s="356" t="s">
        <v>327</v>
      </c>
      <c r="E7" s="354"/>
      <c r="F7" s="354"/>
      <c r="G7" s="354"/>
    </row>
    <row r="8" spans="1:7" ht="13.8" customHeight="1" x14ac:dyDescent="0.3">
      <c r="A8" s="444" t="s">
        <v>328</v>
      </c>
      <c r="B8" s="378">
        <v>1</v>
      </c>
      <c r="C8" s="378">
        <v>2</v>
      </c>
      <c r="D8" s="378" t="s">
        <v>329</v>
      </c>
      <c r="E8" s="354"/>
      <c r="F8" s="346"/>
      <c r="G8" s="354"/>
    </row>
    <row r="9" spans="1:7" ht="26.4" x14ac:dyDescent="0.3">
      <c r="A9" s="444"/>
      <c r="B9" s="379" t="s">
        <v>430</v>
      </c>
      <c r="C9" s="379" t="s">
        <v>431</v>
      </c>
      <c r="D9" s="379" t="s">
        <v>330</v>
      </c>
      <c r="E9" s="354"/>
      <c r="F9" s="348"/>
      <c r="G9" s="354"/>
    </row>
    <row r="10" spans="1:7" ht="13.8" customHeight="1" x14ac:dyDescent="0.35">
      <c r="B10" s="445"/>
      <c r="C10" s="445"/>
      <c r="D10" s="445"/>
      <c r="E10" s="446"/>
      <c r="F10" s="446"/>
      <c r="G10" s="354"/>
    </row>
    <row r="11" spans="1:7" ht="13.8" customHeight="1" x14ac:dyDescent="0.35">
      <c r="A11" s="323" t="s">
        <v>422</v>
      </c>
      <c r="B11" s="322" t="s">
        <v>409</v>
      </c>
      <c r="C11" s="357">
        <f>D4</f>
        <v>4640.1154743589996</v>
      </c>
      <c r="D11" s="357">
        <f>C11/19/1200</f>
        <v>0.20351383659469297</v>
      </c>
      <c r="E11" s="354"/>
      <c r="F11" s="358"/>
      <c r="G11" s="354"/>
    </row>
    <row r="12" spans="1:7" ht="13.8" customHeight="1" x14ac:dyDescent="0.35">
      <c r="A12" s="323" t="s">
        <v>426</v>
      </c>
      <c r="B12" s="322" t="s">
        <v>331</v>
      </c>
      <c r="C12" s="357">
        <f>D5</f>
        <v>4570.3097390000003</v>
      </c>
      <c r="D12" s="357">
        <f>C12/1200</f>
        <v>3.8085914491666668</v>
      </c>
      <c r="E12" s="354"/>
      <c r="F12" s="358"/>
      <c r="G12" s="354"/>
    </row>
    <row r="13" spans="1:7" ht="13.8" customHeight="1" x14ac:dyDescent="0.35">
      <c r="A13" s="319"/>
      <c r="B13" s="354"/>
      <c r="C13" s="347" t="s">
        <v>451</v>
      </c>
      <c r="D13" s="353">
        <f>SUM(D11:D12)</f>
        <v>4.0121052857613595</v>
      </c>
      <c r="E13" s="354"/>
      <c r="F13" s="354"/>
      <c r="G13" s="354"/>
    </row>
    <row r="14" spans="1:7" ht="13.8" customHeight="1" x14ac:dyDescent="0.35">
      <c r="E14" s="354"/>
      <c r="F14" s="354"/>
      <c r="G14" s="354"/>
    </row>
    <row r="15" spans="1:7" ht="13.8" customHeight="1" x14ac:dyDescent="0.3">
      <c r="A15" s="323" t="s">
        <v>433</v>
      </c>
      <c r="B15" s="322" t="s">
        <v>410</v>
      </c>
      <c r="C15" s="357">
        <f>D4</f>
        <v>4640.1154743589996</v>
      </c>
      <c r="D15" s="357">
        <f>C15/19/2500</f>
        <v>9.768664156545262E-2</v>
      </c>
      <c r="E15" s="354"/>
      <c r="F15" s="358"/>
      <c r="G15" s="354"/>
    </row>
    <row r="16" spans="1:7" ht="13.8" customHeight="1" x14ac:dyDescent="0.3">
      <c r="A16" s="323" t="s">
        <v>434</v>
      </c>
      <c r="B16" s="359" t="s">
        <v>402</v>
      </c>
      <c r="C16" s="357">
        <f>D5</f>
        <v>4570.3097390000003</v>
      </c>
      <c r="D16" s="357">
        <f>C16/2500</f>
        <v>1.8281238956000001</v>
      </c>
      <c r="E16" s="354"/>
      <c r="F16" s="358"/>
      <c r="G16" s="354"/>
    </row>
    <row r="17" spans="1:7" ht="13.8" customHeight="1" x14ac:dyDescent="0.35">
      <c r="A17" s="319"/>
      <c r="B17" s="354"/>
      <c r="C17" s="347" t="s">
        <v>452</v>
      </c>
      <c r="D17" s="353">
        <f>SUM(D15:D16)+0.01</f>
        <v>1.9358105371654528</v>
      </c>
      <c r="E17" s="354"/>
      <c r="F17" s="354"/>
      <c r="G17" s="354"/>
    </row>
    <row r="18" spans="1:7" ht="13.8" customHeight="1" x14ac:dyDescent="0.35">
      <c r="A18" s="319"/>
      <c r="B18" s="354"/>
      <c r="C18" s="354"/>
      <c r="D18" s="354"/>
      <c r="E18" s="354"/>
      <c r="F18" s="354"/>
      <c r="G18" s="354"/>
    </row>
    <row r="19" spans="1:7" ht="13.8" customHeight="1" x14ac:dyDescent="0.35">
      <c r="E19" s="354"/>
      <c r="F19" s="354"/>
      <c r="G19" s="354"/>
    </row>
    <row r="20" spans="1:7" ht="13.8" customHeight="1" x14ac:dyDescent="0.3">
      <c r="A20" s="323" t="s">
        <v>436</v>
      </c>
      <c r="B20" s="322" t="s">
        <v>363</v>
      </c>
      <c r="C20" s="360">
        <f>D4</f>
        <v>4640.1154743589996</v>
      </c>
      <c r="D20" s="357">
        <f>C20/19/1500</f>
        <v>0.16281106927575437</v>
      </c>
      <c r="E20" s="354"/>
      <c r="F20" s="354"/>
      <c r="G20" s="354"/>
    </row>
    <row r="21" spans="1:7" ht="13.8" customHeight="1" x14ac:dyDescent="0.3">
      <c r="A21" s="323" t="s">
        <v>437</v>
      </c>
      <c r="B21" s="322" t="s">
        <v>364</v>
      </c>
      <c r="C21" s="360">
        <f>D5</f>
        <v>4570.3097390000003</v>
      </c>
      <c r="D21" s="357">
        <f>C21/1500</f>
        <v>3.0468731593333334</v>
      </c>
      <c r="E21" s="354"/>
      <c r="F21" s="354"/>
      <c r="G21" s="354"/>
    </row>
    <row r="22" spans="1:7" ht="13.8" customHeight="1" x14ac:dyDescent="0.35">
      <c r="C22" s="384" t="s">
        <v>450</v>
      </c>
      <c r="D22" s="353">
        <f>SUM(D20:D21)</f>
        <v>3.2096842286090879</v>
      </c>
      <c r="E22" s="354"/>
      <c r="F22" s="354"/>
      <c r="G22" s="354"/>
    </row>
    <row r="23" spans="1:7" ht="13.8" customHeight="1" x14ac:dyDescent="0.35">
      <c r="E23" s="354"/>
      <c r="F23" s="354"/>
      <c r="G23" s="362"/>
    </row>
    <row r="24" spans="1:7" ht="13.8" customHeight="1" x14ac:dyDescent="0.35">
      <c r="A24" s="323" t="s">
        <v>456</v>
      </c>
      <c r="B24" s="322" t="s">
        <v>406</v>
      </c>
      <c r="C24" s="360">
        <f>D4</f>
        <v>4640.1154743589996</v>
      </c>
      <c r="D24" s="357">
        <f>C24/19/300</f>
        <v>0.81405534637877186</v>
      </c>
      <c r="E24" s="354"/>
      <c r="F24" s="361"/>
      <c r="G24" s="354"/>
    </row>
    <row r="25" spans="1:7" ht="13.8" customHeight="1" x14ac:dyDescent="0.35">
      <c r="A25" s="323" t="s">
        <v>457</v>
      </c>
      <c r="B25" s="322" t="s">
        <v>407</v>
      </c>
      <c r="C25" s="360">
        <f>D5</f>
        <v>4570.3097390000003</v>
      </c>
      <c r="D25" s="363">
        <f>C25/300</f>
        <v>15.234365796666667</v>
      </c>
      <c r="E25" s="354"/>
      <c r="F25" s="361"/>
      <c r="G25" s="354"/>
    </row>
    <row r="26" spans="1:7" ht="13.8" customHeight="1" x14ac:dyDescent="0.35">
      <c r="C26" s="384" t="s">
        <v>332</v>
      </c>
      <c r="D26" s="353">
        <f>SUM(D24:D25)</f>
        <v>16.048421143045438</v>
      </c>
      <c r="E26" s="354"/>
      <c r="F26" s="354"/>
      <c r="G26" s="354"/>
    </row>
    <row r="27" spans="1:7" ht="13.8" customHeight="1" x14ac:dyDescent="0.35">
      <c r="E27" s="354"/>
      <c r="F27" s="354"/>
      <c r="G27" s="364"/>
    </row>
    <row r="28" spans="1:7" ht="13.8" customHeight="1" x14ac:dyDescent="0.3">
      <c r="A28" s="356" t="s">
        <v>334</v>
      </c>
      <c r="E28" s="354"/>
      <c r="F28" s="354"/>
      <c r="G28" s="354"/>
    </row>
    <row r="29" spans="1:7" ht="13.8" customHeight="1" x14ac:dyDescent="0.3">
      <c r="A29" s="444" t="s">
        <v>328</v>
      </c>
      <c r="B29" s="378">
        <v>1</v>
      </c>
      <c r="C29" s="378">
        <v>2</v>
      </c>
      <c r="D29" s="378" t="s">
        <v>329</v>
      </c>
      <c r="E29" s="354"/>
      <c r="F29" s="346"/>
      <c r="G29" s="354"/>
    </row>
    <row r="30" spans="1:7" ht="26.4" x14ac:dyDescent="0.3">
      <c r="A30" s="444"/>
      <c r="B30" s="379" t="s">
        <v>432</v>
      </c>
      <c r="C30" s="379" t="s">
        <v>431</v>
      </c>
      <c r="D30" s="379" t="s">
        <v>330</v>
      </c>
      <c r="E30" s="354"/>
      <c r="F30" s="348"/>
      <c r="G30" s="354"/>
    </row>
    <row r="31" spans="1:7" ht="13.8" customHeight="1" x14ac:dyDescent="0.3">
      <c r="B31" s="445"/>
      <c r="C31" s="445"/>
      <c r="D31" s="445"/>
      <c r="E31" s="446"/>
      <c r="F31" s="446"/>
      <c r="G31" s="354"/>
    </row>
    <row r="32" spans="1:7" ht="13.8" customHeight="1" x14ac:dyDescent="0.3">
      <c r="A32" s="323" t="s">
        <v>423</v>
      </c>
      <c r="B32" s="322" t="s">
        <v>442</v>
      </c>
      <c r="C32" s="360">
        <f>D4</f>
        <v>4640.1154743589996</v>
      </c>
      <c r="D32" s="360">
        <f>C32*(1/(19*2000))</f>
        <v>0.12210830195681578</v>
      </c>
      <c r="E32" s="354"/>
      <c r="F32" s="361"/>
      <c r="G32" s="354"/>
    </row>
    <row r="33" spans="1:7" ht="13.8" customHeight="1" x14ac:dyDescent="0.3">
      <c r="A33" s="323" t="s">
        <v>427</v>
      </c>
      <c r="B33" s="365" t="s">
        <v>443</v>
      </c>
      <c r="C33" s="360">
        <f>D5</f>
        <v>4570.3097390000003</v>
      </c>
      <c r="D33" s="360">
        <f>C33*(1/2000)</f>
        <v>2.2851548695000004</v>
      </c>
      <c r="E33" s="354"/>
      <c r="F33" s="361"/>
      <c r="G33" s="354"/>
    </row>
    <row r="34" spans="1:7" ht="13.8" customHeight="1" x14ac:dyDescent="0.3">
      <c r="A34" s="319"/>
      <c r="B34" s="366"/>
      <c r="C34" s="384" t="s">
        <v>333</v>
      </c>
      <c r="D34" s="353">
        <f>SUM(D32:D33)</f>
        <v>2.4072631714568162</v>
      </c>
      <c r="E34" s="354"/>
      <c r="F34" s="354"/>
      <c r="G34" s="354"/>
    </row>
    <row r="35" spans="1:7" ht="13.8" customHeight="1" x14ac:dyDescent="0.3">
      <c r="E35" s="354"/>
      <c r="F35" s="354"/>
      <c r="G35" s="354"/>
    </row>
    <row r="36" spans="1:7" ht="13.8" customHeight="1" x14ac:dyDescent="0.3">
      <c r="A36" s="323" t="s">
        <v>424</v>
      </c>
      <c r="B36" s="322" t="s">
        <v>403</v>
      </c>
      <c r="C36" s="360">
        <f>C11</f>
        <v>4640.1154743589996</v>
      </c>
      <c r="D36" s="360">
        <f>C36*(1/(19*9000))</f>
        <v>2.7135178212625729E-2</v>
      </c>
      <c r="E36" s="354"/>
      <c r="F36" s="361"/>
      <c r="G36" s="354"/>
    </row>
    <row r="37" spans="1:7" ht="13.8" customHeight="1" x14ac:dyDescent="0.3">
      <c r="A37" s="323" t="s">
        <v>428</v>
      </c>
      <c r="B37" s="365" t="s">
        <v>404</v>
      </c>
      <c r="C37" s="360">
        <f>C12</f>
        <v>4570.3097390000003</v>
      </c>
      <c r="D37" s="360">
        <f>C37*(1/9000)</f>
        <v>0.50781219322222226</v>
      </c>
      <c r="E37" s="354"/>
      <c r="F37" s="361"/>
      <c r="G37" s="354"/>
    </row>
    <row r="38" spans="1:7" ht="13.8" customHeight="1" x14ac:dyDescent="0.3">
      <c r="A38" s="319"/>
      <c r="B38" s="366"/>
      <c r="C38" s="384" t="s">
        <v>335</v>
      </c>
      <c r="D38" s="353">
        <f>SUM(D36:D37)</f>
        <v>0.53494737143484794</v>
      </c>
      <c r="E38" s="354"/>
      <c r="F38" s="354"/>
      <c r="G38" s="354"/>
    </row>
    <row r="39" spans="1:7" ht="13.8" customHeight="1" x14ac:dyDescent="0.3">
      <c r="E39" s="354"/>
      <c r="F39" s="354"/>
      <c r="G39" s="354"/>
    </row>
    <row r="40" spans="1:7" ht="13.8" customHeight="1" x14ac:dyDescent="0.3">
      <c r="A40" s="323" t="s">
        <v>438</v>
      </c>
      <c r="B40" s="322" t="s">
        <v>445</v>
      </c>
      <c r="C40" s="360">
        <f>C11</f>
        <v>4640.1154743589996</v>
      </c>
      <c r="D40" s="360">
        <f>C40*(1/(19*2700))</f>
        <v>9.0450594042085761E-2</v>
      </c>
      <c r="E40" s="354"/>
      <c r="F40" s="361"/>
      <c r="G40" s="354"/>
    </row>
    <row r="41" spans="1:7" ht="13.8" customHeight="1" x14ac:dyDescent="0.3">
      <c r="A41" s="323" t="s">
        <v>439</v>
      </c>
      <c r="B41" s="365" t="s">
        <v>405</v>
      </c>
      <c r="C41" s="360">
        <f>C12</f>
        <v>4570.3097390000003</v>
      </c>
      <c r="D41" s="360">
        <f>C41*(1/2700)</f>
        <v>1.6927073107407407</v>
      </c>
      <c r="E41" s="354"/>
      <c r="F41" s="361"/>
      <c r="G41" s="354"/>
    </row>
    <row r="42" spans="1:7" ht="13.8" customHeight="1" x14ac:dyDescent="0.3">
      <c r="C42" s="384" t="s">
        <v>336</v>
      </c>
      <c r="D42" s="353">
        <f>D40+D41</f>
        <v>1.7831579047828263</v>
      </c>
      <c r="E42" s="354"/>
      <c r="F42" s="354"/>
      <c r="G42" s="354"/>
    </row>
    <row r="43" spans="1:7" ht="13.8" customHeight="1" x14ac:dyDescent="0.3">
      <c r="E43" s="354"/>
      <c r="F43" s="354"/>
      <c r="G43" s="354"/>
    </row>
    <row r="44" spans="1:7" ht="13.8" customHeight="1" x14ac:dyDescent="0.3">
      <c r="A44" s="323" t="s">
        <v>440</v>
      </c>
      <c r="B44" s="322" t="s">
        <v>446</v>
      </c>
      <c r="C44" s="360">
        <f>C15</f>
        <v>4640.1154743589996</v>
      </c>
      <c r="D44" s="360">
        <f>C44*(1/(19*100000))</f>
        <v>2.4421660391363152E-3</v>
      </c>
      <c r="E44" s="354"/>
      <c r="F44" s="354"/>
      <c r="G44" s="354"/>
    </row>
    <row r="45" spans="1:7" ht="13.8" customHeight="1" x14ac:dyDescent="0.3">
      <c r="A45" s="323" t="s">
        <v>441</v>
      </c>
      <c r="B45" s="365" t="s">
        <v>444</v>
      </c>
      <c r="C45" s="360">
        <f>C16</f>
        <v>4570.3097390000003</v>
      </c>
      <c r="D45" s="360">
        <f>C45*(1/100000)</f>
        <v>4.570309739000001E-2</v>
      </c>
      <c r="E45" s="354"/>
      <c r="F45" s="354"/>
      <c r="G45" s="354"/>
    </row>
    <row r="46" spans="1:7" ht="13.8" customHeight="1" x14ac:dyDescent="0.3">
      <c r="C46" s="384" t="s">
        <v>339</v>
      </c>
      <c r="D46" s="353">
        <f>D44+D45</f>
        <v>4.8145263429136324E-2</v>
      </c>
      <c r="E46" s="354"/>
      <c r="F46" s="354"/>
      <c r="G46" s="354"/>
    </row>
    <row r="47" spans="1:7" ht="13.8" customHeight="1" x14ac:dyDescent="0.3">
      <c r="E47" s="354"/>
      <c r="F47" s="354"/>
      <c r="G47" s="354"/>
    </row>
    <row r="48" spans="1:7" ht="13.8" customHeight="1" x14ac:dyDescent="0.3">
      <c r="A48" s="367" t="s">
        <v>337</v>
      </c>
    </row>
    <row r="49" spans="1:9" ht="13.8" customHeight="1" x14ac:dyDescent="0.3">
      <c r="A49" s="444" t="s">
        <v>328</v>
      </c>
      <c r="B49" s="378">
        <v>1</v>
      </c>
      <c r="C49" s="378">
        <v>2</v>
      </c>
      <c r="D49" s="379">
        <v>3</v>
      </c>
      <c r="E49" s="378">
        <v>4</v>
      </c>
      <c r="F49" s="379">
        <v>5</v>
      </c>
      <c r="G49" s="378">
        <v>6</v>
      </c>
    </row>
    <row r="50" spans="1:9" ht="39.6" x14ac:dyDescent="0.3">
      <c r="A50" s="444"/>
      <c r="B50" s="379" t="s">
        <v>408</v>
      </c>
      <c r="C50" s="379" t="s">
        <v>418</v>
      </c>
      <c r="D50" s="378" t="s">
        <v>338</v>
      </c>
      <c r="E50" s="378" t="s">
        <v>419</v>
      </c>
      <c r="F50" s="378" t="s">
        <v>420</v>
      </c>
      <c r="G50" s="378" t="s">
        <v>421</v>
      </c>
    </row>
    <row r="51" spans="1:9" ht="13.8" customHeight="1" x14ac:dyDescent="0.3">
      <c r="A51" s="323" t="s">
        <v>425</v>
      </c>
      <c r="B51" s="322" t="s">
        <v>447</v>
      </c>
      <c r="C51" s="322">
        <v>16</v>
      </c>
      <c r="D51" s="323" t="s">
        <v>448</v>
      </c>
      <c r="E51" s="323">
        <v>1.1579999999999999E-5</v>
      </c>
      <c r="F51" s="360">
        <f>C11</f>
        <v>4640.1154743589996</v>
      </c>
      <c r="G51" s="360">
        <f>E51*F51</f>
        <v>5.3732537193077211E-2</v>
      </c>
    </row>
    <row r="52" spans="1:9" ht="13.8" customHeight="1" x14ac:dyDescent="0.3">
      <c r="A52" s="323" t="s">
        <v>429</v>
      </c>
      <c r="B52" s="322" t="s">
        <v>449</v>
      </c>
      <c r="C52" s="322">
        <v>16</v>
      </c>
      <c r="D52" s="323" t="s">
        <v>448</v>
      </c>
      <c r="E52" s="323">
        <v>2.1990000000000001E-4</v>
      </c>
      <c r="F52" s="360">
        <f>C12</f>
        <v>4570.3097390000003</v>
      </c>
      <c r="G52" s="360">
        <f>E52*F52</f>
        <v>1.0050111116061</v>
      </c>
    </row>
    <row r="53" spans="1:9" ht="13.8" customHeight="1" x14ac:dyDescent="0.3">
      <c r="F53" s="322" t="s">
        <v>462</v>
      </c>
      <c r="G53" s="368">
        <f>SUM(G51:G52)</f>
        <v>1.0587436487991773</v>
      </c>
    </row>
    <row r="54" spans="1:9" ht="13.8" customHeight="1" x14ac:dyDescent="0.3">
      <c r="F54" s="354"/>
      <c r="G54" s="369"/>
      <c r="I54" s="383"/>
    </row>
    <row r="55" spans="1:9" ht="26.4" x14ac:dyDescent="0.3">
      <c r="A55" s="378" t="s">
        <v>340</v>
      </c>
      <c r="B55" s="378" t="s">
        <v>330</v>
      </c>
      <c r="C55" s="378" t="s">
        <v>411</v>
      </c>
      <c r="D55" s="378" t="s">
        <v>412</v>
      </c>
      <c r="E55" s="378" t="s">
        <v>413</v>
      </c>
    </row>
    <row r="56" spans="1:9" ht="13.8" customHeight="1" x14ac:dyDescent="0.3">
      <c r="A56" s="324"/>
      <c r="B56" s="319"/>
      <c r="C56" s="319"/>
      <c r="D56" s="319"/>
      <c r="E56" s="319"/>
      <c r="I56" s="382"/>
    </row>
    <row r="57" spans="1:9" ht="13.8" customHeight="1" x14ac:dyDescent="0.3">
      <c r="A57" s="323" t="s">
        <v>459</v>
      </c>
      <c r="B57" s="322" t="s">
        <v>460</v>
      </c>
      <c r="C57" s="360">
        <f>D13</f>
        <v>4.0121052857613595</v>
      </c>
      <c r="D57" s="322">
        <v>12183.38</v>
      </c>
      <c r="E57" s="360">
        <f>C57*D57</f>
        <v>48881.00329643923</v>
      </c>
      <c r="I57" s="382"/>
    </row>
    <row r="58" spans="1:9" ht="13.8" customHeight="1" x14ac:dyDescent="0.3">
      <c r="A58" s="323" t="s">
        <v>435</v>
      </c>
      <c r="B58" s="322" t="s">
        <v>461</v>
      </c>
      <c r="C58" s="360">
        <f>D17</f>
        <v>1.9358105371654528</v>
      </c>
      <c r="D58" s="323">
        <v>344.28</v>
      </c>
      <c r="E58" s="360">
        <f>C58*D58</f>
        <v>666.46085173532208</v>
      </c>
      <c r="I58" s="382"/>
    </row>
    <row r="59" spans="1:9" ht="13.8" customHeight="1" x14ac:dyDescent="0.3">
      <c r="A59" s="323" t="s">
        <v>341</v>
      </c>
      <c r="B59" s="322" t="s">
        <v>453</v>
      </c>
      <c r="C59" s="360">
        <f>D22</f>
        <v>3.2096842286090879</v>
      </c>
      <c r="D59" s="323">
        <v>216.69</v>
      </c>
      <c r="E59" s="360">
        <f>C59*D59</f>
        <v>695.5064754973032</v>
      </c>
    </row>
    <row r="60" spans="1:9" ht="13.8" customHeight="1" x14ac:dyDescent="0.3">
      <c r="A60" s="323" t="s">
        <v>458</v>
      </c>
      <c r="B60" s="322" t="s">
        <v>454</v>
      </c>
      <c r="C60" s="360">
        <f>D26</f>
        <v>16.048421143045438</v>
      </c>
      <c r="D60" s="323">
        <v>959.26</v>
      </c>
      <c r="E60" s="360">
        <f>C60*D60</f>
        <v>15394.608465677768</v>
      </c>
    </row>
    <row r="61" spans="1:9" ht="13.8" customHeight="1" x14ac:dyDescent="0.3">
      <c r="D61" s="385" t="s">
        <v>342</v>
      </c>
      <c r="E61" s="386">
        <f>SUM(E57:E60)</f>
        <v>65637.579089349631</v>
      </c>
    </row>
    <row r="62" spans="1:9" ht="13.8" customHeight="1" x14ac:dyDescent="0.3">
      <c r="F62" s="354"/>
    </row>
    <row r="63" spans="1:9" ht="26.4" x14ac:dyDescent="0.3">
      <c r="A63" s="378" t="s">
        <v>340</v>
      </c>
      <c r="B63" s="378" t="s">
        <v>330</v>
      </c>
      <c r="C63" s="378" t="s">
        <v>414</v>
      </c>
      <c r="D63" s="378" t="s">
        <v>412</v>
      </c>
      <c r="E63" s="378" t="s">
        <v>413</v>
      </c>
    </row>
    <row r="64" spans="1:9" ht="13.8" customHeight="1" x14ac:dyDescent="0.3">
      <c r="A64" s="322" t="s">
        <v>463</v>
      </c>
      <c r="B64" s="322" t="s">
        <v>455</v>
      </c>
      <c r="C64" s="360">
        <f>D34</f>
        <v>2.4072631714568162</v>
      </c>
      <c r="D64" s="320">
        <v>5690.93</v>
      </c>
      <c r="E64" s="360">
        <f>C64*D64</f>
        <v>13699.566200338741</v>
      </c>
    </row>
    <row r="65" spans="1:7" ht="13.8" customHeight="1" x14ac:dyDescent="0.3">
      <c r="A65" s="322" t="s">
        <v>343</v>
      </c>
      <c r="B65" s="322" t="s">
        <v>344</v>
      </c>
      <c r="C65" s="360">
        <f>D38</f>
        <v>0.53494737143484794</v>
      </c>
      <c r="D65" s="320">
        <v>3605</v>
      </c>
      <c r="E65" s="360">
        <f t="shared" ref="E65:E67" si="0">C65*D65</f>
        <v>1928.4852740226268</v>
      </c>
    </row>
    <row r="66" spans="1:7" ht="13.8" customHeight="1" x14ac:dyDescent="0.3">
      <c r="A66" s="322" t="s">
        <v>466</v>
      </c>
      <c r="B66" s="322" t="s">
        <v>464</v>
      </c>
      <c r="C66" s="360">
        <f>D42</f>
        <v>1.7831579047828263</v>
      </c>
      <c r="D66" s="320">
        <v>876.45</v>
      </c>
      <c r="E66" s="360">
        <f t="shared" si="0"/>
        <v>1562.8487456469081</v>
      </c>
    </row>
    <row r="67" spans="1:7" ht="13.8" customHeight="1" x14ac:dyDescent="0.3">
      <c r="A67" s="323" t="s">
        <v>465</v>
      </c>
      <c r="B67" s="322" t="s">
        <v>347</v>
      </c>
      <c r="C67" s="360">
        <f>D42</f>
        <v>1.7831579047828263</v>
      </c>
      <c r="D67" s="320">
        <v>2109</v>
      </c>
      <c r="E67" s="360">
        <f t="shared" si="0"/>
        <v>3760.6800211869809</v>
      </c>
    </row>
    <row r="68" spans="1:7" ht="13.8" customHeight="1" x14ac:dyDescent="0.3">
      <c r="A68" s="319"/>
      <c r="B68" s="319"/>
      <c r="C68" s="354"/>
      <c r="D68" s="379" t="s">
        <v>345</v>
      </c>
      <c r="E68" s="380">
        <f>SUM(E64:E67)</f>
        <v>20951.580241195257</v>
      </c>
    </row>
    <row r="69" spans="1:7" ht="13.8" customHeight="1" x14ac:dyDescent="0.3">
      <c r="D69" s="355">
        <f>SUM(D64:D67)</f>
        <v>12281.380000000001</v>
      </c>
      <c r="E69" s="354"/>
      <c r="F69" s="354"/>
    </row>
    <row r="70" spans="1:7" ht="26.4" x14ac:dyDescent="0.3">
      <c r="A70" s="378" t="s">
        <v>340</v>
      </c>
      <c r="B70" s="378" t="s">
        <v>414</v>
      </c>
      <c r="C70" s="378"/>
      <c r="D70" s="378" t="s">
        <v>412</v>
      </c>
      <c r="E70" s="378" t="s">
        <v>413</v>
      </c>
    </row>
    <row r="71" spans="1:7" ht="13.8" customHeight="1" x14ac:dyDescent="0.3">
      <c r="A71" s="323" t="s">
        <v>346</v>
      </c>
      <c r="B71" s="323" t="s">
        <v>347</v>
      </c>
      <c r="C71" s="357">
        <f>G53</f>
        <v>1.0587436487991773</v>
      </c>
      <c r="D71" s="370">
        <v>4919.04</v>
      </c>
      <c r="E71" s="360">
        <f>C71*D71</f>
        <v>5208.0023581891046</v>
      </c>
    </row>
    <row r="72" spans="1:7" ht="13.8" customHeight="1" x14ac:dyDescent="0.3">
      <c r="D72" s="379" t="s">
        <v>348</v>
      </c>
      <c r="E72" s="380">
        <f>SUM(E71)</f>
        <v>5208.0023581891046</v>
      </c>
    </row>
    <row r="73" spans="1:7" ht="13.8" customHeight="1" x14ac:dyDescent="0.3"/>
    <row r="74" spans="1:7" ht="13.8" customHeight="1" x14ac:dyDescent="0.3">
      <c r="A74" s="444" t="s">
        <v>415</v>
      </c>
      <c r="B74" s="444"/>
      <c r="C74" s="444"/>
      <c r="D74" s="444"/>
      <c r="E74" s="444"/>
    </row>
    <row r="75" spans="1:7" ht="13.8" customHeight="1" x14ac:dyDescent="0.3"/>
    <row r="76" spans="1:7" ht="13.8" customHeight="1" x14ac:dyDescent="0.3">
      <c r="A76" s="379" t="s">
        <v>468</v>
      </c>
      <c r="B76" s="380">
        <f>SUM(E61+E68+E72)</f>
        <v>91797.161688733991</v>
      </c>
      <c r="C76" s="371"/>
      <c r="D76" s="379" t="s">
        <v>349</v>
      </c>
      <c r="E76" s="381">
        <f>B76*12</f>
        <v>1101565.940264808</v>
      </c>
    </row>
    <row r="77" spans="1:7" ht="13.8" customHeight="1" x14ac:dyDescent="0.3">
      <c r="A77" s="379" t="s">
        <v>470</v>
      </c>
      <c r="B77" s="380">
        <f>JARDINAGEM!C149</f>
        <v>825.72484700000007</v>
      </c>
      <c r="C77" s="371"/>
      <c r="D77" s="379" t="s">
        <v>349</v>
      </c>
      <c r="E77" s="381">
        <f>B77*12</f>
        <v>9908.6981640000013</v>
      </c>
    </row>
    <row r="78" spans="1:7" ht="13.8" customHeight="1" x14ac:dyDescent="0.3">
      <c r="A78" s="348"/>
      <c r="B78" s="369"/>
      <c r="C78" s="371"/>
      <c r="D78" s="348"/>
      <c r="E78" s="387"/>
    </row>
    <row r="79" spans="1:7" s="392" customFormat="1" ht="13.8" customHeight="1" x14ac:dyDescent="0.3">
      <c r="A79" s="388" t="s">
        <v>469</v>
      </c>
      <c r="B79" s="389">
        <f>SUM(B76:B77)</f>
        <v>92622.886535733996</v>
      </c>
      <c r="C79" s="390"/>
      <c r="D79" s="388" t="s">
        <v>349</v>
      </c>
      <c r="E79" s="389">
        <f>SUM(E76:E77)</f>
        <v>1111474.638428808</v>
      </c>
      <c r="F79" s="391"/>
      <c r="G79" s="391"/>
    </row>
    <row r="80" spans="1:7" ht="13.8" customHeight="1" x14ac:dyDescent="0.3"/>
    <row r="81" spans="1:9" ht="26.4" x14ac:dyDescent="0.3">
      <c r="A81" s="379" t="s">
        <v>350</v>
      </c>
      <c r="B81" s="379" t="s">
        <v>32</v>
      </c>
      <c r="C81" s="379" t="s">
        <v>351</v>
      </c>
      <c r="D81" s="379" t="s">
        <v>352</v>
      </c>
      <c r="E81" s="379" t="s">
        <v>353</v>
      </c>
      <c r="F81" s="379" t="s">
        <v>354</v>
      </c>
      <c r="G81" s="356"/>
      <c r="I81" s="313"/>
    </row>
    <row r="82" spans="1:9" ht="13.8" customHeight="1" x14ac:dyDescent="0.3">
      <c r="A82" s="322" t="s">
        <v>417</v>
      </c>
      <c r="B82" s="357">
        <v>16676.71</v>
      </c>
      <c r="C82" s="322">
        <v>1</v>
      </c>
      <c r="D82" s="357">
        <f>B82/C82</f>
        <v>16676.71</v>
      </c>
      <c r="E82" s="322">
        <v>19</v>
      </c>
      <c r="F82" s="357">
        <f>D82/E82</f>
        <v>877.72157894736836</v>
      </c>
      <c r="I82" s="313"/>
    </row>
    <row r="83" spans="1:9" ht="13.8" customHeight="1" x14ac:dyDescent="0.3">
      <c r="A83" s="322" t="s">
        <v>467</v>
      </c>
      <c r="B83" s="357">
        <v>1126.73</v>
      </c>
      <c r="C83" s="322">
        <v>1</v>
      </c>
      <c r="D83" s="357">
        <f>B83/C83</f>
        <v>1126.73</v>
      </c>
      <c r="E83" s="322">
        <v>19</v>
      </c>
      <c r="F83" s="357">
        <f>D83/E83</f>
        <v>59.301578947368419</v>
      </c>
      <c r="G83" s="372"/>
      <c r="I83" s="313"/>
    </row>
    <row r="84" spans="1:9" ht="13.8" customHeight="1" x14ac:dyDescent="0.3">
      <c r="A84" s="452" t="s">
        <v>355</v>
      </c>
      <c r="B84" s="453"/>
      <c r="C84" s="453"/>
      <c r="D84" s="453"/>
      <c r="E84" s="454"/>
      <c r="F84" s="373">
        <f>SUM(F82:F83)</f>
        <v>937.02315789473676</v>
      </c>
      <c r="I84" s="313"/>
    </row>
    <row r="85" spans="1:9" ht="13.8" customHeight="1" x14ac:dyDescent="0.3">
      <c r="B85" s="374"/>
      <c r="D85" s="375"/>
      <c r="F85" s="374"/>
      <c r="I85" s="313"/>
    </row>
    <row r="86" spans="1:9" ht="26.4" x14ac:dyDescent="0.3">
      <c r="A86" s="379" t="s">
        <v>350</v>
      </c>
      <c r="B86" s="379" t="s">
        <v>32</v>
      </c>
      <c r="C86" s="379" t="s">
        <v>351</v>
      </c>
      <c r="D86" s="379" t="s">
        <v>352</v>
      </c>
      <c r="E86" s="379" t="s">
        <v>353</v>
      </c>
      <c r="F86" s="379" t="s">
        <v>354</v>
      </c>
      <c r="I86" s="313"/>
    </row>
    <row r="87" spans="1:9" ht="13.8" customHeight="1" x14ac:dyDescent="0.3">
      <c r="A87" s="322" t="s">
        <v>356</v>
      </c>
      <c r="B87" s="357">
        <v>570.57000000000005</v>
      </c>
      <c r="C87" s="322">
        <v>12</v>
      </c>
      <c r="D87" s="353">
        <f>B87/C87</f>
        <v>47.547500000000007</v>
      </c>
      <c r="E87" s="322">
        <v>19</v>
      </c>
      <c r="F87" s="357">
        <f>D87/E87</f>
        <v>2.5025000000000004</v>
      </c>
      <c r="I87" s="313"/>
    </row>
    <row r="88" spans="1:9" ht="13.8" customHeight="1" x14ac:dyDescent="0.3">
      <c r="A88" s="322" t="s">
        <v>357</v>
      </c>
      <c r="B88" s="357">
        <v>589.32000000000005</v>
      </c>
      <c r="C88" s="322">
        <v>12</v>
      </c>
      <c r="D88" s="353">
        <f>B88/C88</f>
        <v>49.110000000000007</v>
      </c>
      <c r="E88" s="322">
        <v>1</v>
      </c>
      <c r="F88" s="357">
        <f>D88/E88</f>
        <v>49.110000000000007</v>
      </c>
      <c r="I88" s="313"/>
    </row>
    <row r="89" spans="1:9" ht="13.8" customHeight="1" x14ac:dyDescent="0.3">
      <c r="A89" s="376"/>
      <c r="I89" s="313"/>
    </row>
    <row r="90" spans="1:9" x14ac:dyDescent="0.3">
      <c r="B90" s="377"/>
      <c r="C90" s="377"/>
      <c r="I90" s="313"/>
    </row>
  </sheetData>
  <mergeCells count="11">
    <mergeCell ref="A74:E74"/>
    <mergeCell ref="A84:E84"/>
    <mergeCell ref="A49:A50"/>
    <mergeCell ref="B31:D31"/>
    <mergeCell ref="E31:F31"/>
    <mergeCell ref="A29:A30"/>
    <mergeCell ref="B10:D10"/>
    <mergeCell ref="E10:F10"/>
    <mergeCell ref="A8:A9"/>
    <mergeCell ref="A1:G1"/>
    <mergeCell ref="A2:G2"/>
  </mergeCells>
  <phoneticPr fontId="47" type="noConversion"/>
  <pageMargins left="0.27559055118110237" right="0.19685039370078741" top="0.82677165354330717" bottom="0.35433070866141736" header="0.31496062992125984" footer="0.31496062992125984"/>
  <pageSetup paperSize="9" scale="74" orientation="landscape" r:id="rId1"/>
  <rowBreaks count="3" manualBreakCount="3">
    <brk id="26" max="8" man="1"/>
    <brk id="54" max="6" man="1"/>
    <brk id="7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showGridLines="0" zoomScale="115" zoomScaleNormal="115" workbookViewId="0">
      <selection activeCell="B151" sqref="B151"/>
    </sheetView>
  </sheetViews>
  <sheetFormatPr defaultColWidth="9.21875" defaultRowHeight="15.6" x14ac:dyDescent="0.3"/>
  <cols>
    <col min="1" max="1" width="9.21875" style="260"/>
    <col min="2" max="2" width="72.21875" style="260" customWidth="1"/>
    <col min="3" max="3" width="18" style="260" customWidth="1"/>
    <col min="4" max="4" width="14.21875" style="260" customWidth="1"/>
    <col min="5" max="5" width="12.77734375" style="260" customWidth="1"/>
    <col min="6" max="6" width="12" style="260" customWidth="1"/>
    <col min="7" max="7" width="15.21875" style="260" customWidth="1"/>
    <col min="8" max="16384" width="9.21875" style="260"/>
  </cols>
  <sheetData>
    <row r="1" spans="1:10" ht="22.8" x14ac:dyDescent="0.4">
      <c r="A1" s="428" t="s">
        <v>262</v>
      </c>
      <c r="B1" s="428"/>
      <c r="C1" s="428"/>
      <c r="D1" s="428"/>
    </row>
    <row r="2" spans="1:10" ht="22.8" x14ac:dyDescent="0.4">
      <c r="A2" s="428" t="s">
        <v>264</v>
      </c>
      <c r="B2" s="428"/>
      <c r="C2" s="428"/>
      <c r="D2" s="428"/>
    </row>
    <row r="3" spans="1:10" x14ac:dyDescent="0.3">
      <c r="A3" s="469" t="s">
        <v>278</v>
      </c>
      <c r="B3" s="469"/>
      <c r="C3" s="469"/>
      <c r="D3" s="469"/>
    </row>
    <row r="4" spans="1:10" ht="15.45" x14ac:dyDescent="0.35">
      <c r="A4" s="284"/>
      <c r="B4" s="284"/>
      <c r="C4" s="284"/>
      <c r="D4" s="284"/>
    </row>
    <row r="5" spans="1:10" ht="15.6" customHeight="1" x14ac:dyDescent="0.3">
      <c r="A5" s="455" t="s">
        <v>293</v>
      </c>
      <c r="B5" s="456"/>
      <c r="C5" s="456"/>
      <c r="D5" s="457"/>
      <c r="E5" s="286"/>
      <c r="F5" s="286"/>
      <c r="G5" s="286"/>
      <c r="H5" s="286"/>
      <c r="I5" s="286"/>
      <c r="J5" s="286"/>
    </row>
    <row r="6" spans="1:10" ht="18.600000000000001" customHeight="1" x14ac:dyDescent="0.35">
      <c r="A6" s="462" t="s">
        <v>305</v>
      </c>
      <c r="B6" s="462"/>
      <c r="C6" s="462"/>
      <c r="D6" s="462"/>
      <c r="E6" s="286"/>
      <c r="F6" s="286"/>
      <c r="G6" s="286"/>
      <c r="H6" s="286"/>
      <c r="I6" s="286"/>
      <c r="J6" s="286"/>
    </row>
    <row r="7" spans="1:10" ht="15.6" customHeight="1" x14ac:dyDescent="0.3">
      <c r="A7" s="462" t="s">
        <v>306</v>
      </c>
      <c r="B7" s="462"/>
      <c r="C7" s="462"/>
      <c r="D7" s="462"/>
      <c r="E7" s="286"/>
      <c r="F7" s="286"/>
      <c r="G7" s="286"/>
      <c r="H7" s="286"/>
      <c r="I7" s="286"/>
      <c r="J7" s="286"/>
    </row>
    <row r="8" spans="1:10" ht="15.45" x14ac:dyDescent="0.35">
      <c r="A8" s="458"/>
      <c r="B8" s="459"/>
      <c r="C8" s="459"/>
      <c r="D8" s="460"/>
      <c r="E8" s="287"/>
      <c r="F8" s="287"/>
      <c r="G8" s="287"/>
      <c r="H8" s="287"/>
      <c r="I8" s="287"/>
      <c r="J8" s="287"/>
    </row>
    <row r="9" spans="1:10" x14ac:dyDescent="0.3">
      <c r="A9" s="461" t="s">
        <v>294</v>
      </c>
      <c r="B9" s="461"/>
      <c r="C9" s="461"/>
      <c r="D9" s="461"/>
      <c r="E9" s="291"/>
      <c r="F9" s="291"/>
      <c r="G9" s="291"/>
      <c r="H9" s="291"/>
      <c r="I9" s="291"/>
      <c r="J9" s="291"/>
    </row>
    <row r="10" spans="1:10" x14ac:dyDescent="0.3">
      <c r="A10" s="296" t="s">
        <v>194</v>
      </c>
      <c r="B10" s="297" t="s">
        <v>295</v>
      </c>
      <c r="C10" s="463"/>
      <c r="D10" s="463"/>
      <c r="E10" s="287"/>
      <c r="F10" s="287"/>
      <c r="G10" s="292"/>
      <c r="H10" s="289"/>
      <c r="I10" s="289"/>
      <c r="J10" s="289"/>
    </row>
    <row r="11" spans="1:10" x14ac:dyDescent="0.3">
      <c r="A11" s="296" t="s">
        <v>196</v>
      </c>
      <c r="B11" s="297" t="s">
        <v>296</v>
      </c>
      <c r="C11" s="463" t="s">
        <v>297</v>
      </c>
      <c r="D11" s="463"/>
      <c r="E11" s="290"/>
      <c r="F11" s="290"/>
      <c r="G11" s="292"/>
      <c r="H11" s="291"/>
      <c r="I11" s="291"/>
      <c r="J11" s="291"/>
    </row>
    <row r="12" spans="1:10" ht="42" customHeight="1" x14ac:dyDescent="0.3">
      <c r="A12" s="296" t="s">
        <v>198</v>
      </c>
      <c r="B12" s="297" t="s">
        <v>298</v>
      </c>
      <c r="C12" s="463" t="s">
        <v>307</v>
      </c>
      <c r="D12" s="463"/>
      <c r="E12" s="290"/>
      <c r="F12" s="290"/>
      <c r="G12" s="292"/>
      <c r="H12" s="291"/>
      <c r="I12" s="291"/>
      <c r="J12" s="291"/>
    </row>
    <row r="13" spans="1:10" x14ac:dyDescent="0.3">
      <c r="A13" s="296" t="s">
        <v>200</v>
      </c>
      <c r="B13" s="297" t="s">
        <v>299</v>
      </c>
      <c r="C13" s="463">
        <v>12</v>
      </c>
      <c r="D13" s="463"/>
      <c r="E13" s="287"/>
      <c r="F13" s="287"/>
      <c r="G13" s="292"/>
      <c r="H13" s="291"/>
      <c r="I13" s="291"/>
      <c r="J13" s="291"/>
    </row>
    <row r="14" spans="1:10" s="288" customFormat="1" ht="15.45" x14ac:dyDescent="0.35">
      <c r="A14" s="287"/>
      <c r="B14" s="287"/>
      <c r="C14" s="287"/>
      <c r="D14" s="287"/>
      <c r="E14" s="287"/>
      <c r="F14" s="287"/>
      <c r="G14" s="287"/>
      <c r="H14" s="287"/>
      <c r="I14" s="287"/>
      <c r="J14" s="287"/>
    </row>
    <row r="15" spans="1:10" x14ac:dyDescent="0.3">
      <c r="A15" s="461" t="s">
        <v>300</v>
      </c>
      <c r="B15" s="461"/>
      <c r="C15" s="461"/>
      <c r="D15" s="461"/>
      <c r="E15" s="291"/>
      <c r="F15" s="291"/>
      <c r="G15" s="291"/>
      <c r="H15" s="291"/>
      <c r="I15" s="291"/>
      <c r="J15" s="291"/>
    </row>
    <row r="16" spans="1:10" ht="27.6" x14ac:dyDescent="0.3">
      <c r="A16" s="471" t="s">
        <v>301</v>
      </c>
      <c r="B16" s="471"/>
      <c r="C16" s="293" t="s">
        <v>302</v>
      </c>
      <c r="D16" s="285" t="s">
        <v>303</v>
      </c>
      <c r="E16" s="292"/>
      <c r="F16" s="286"/>
      <c r="G16" s="286"/>
      <c r="H16" s="292"/>
      <c r="I16" s="286"/>
      <c r="J16" s="292"/>
    </row>
    <row r="17" spans="1:10" ht="21" customHeight="1" x14ac:dyDescent="0.35">
      <c r="A17" s="462" t="s">
        <v>308</v>
      </c>
      <c r="B17" s="462"/>
      <c r="C17" s="296" t="s">
        <v>304</v>
      </c>
      <c r="D17" s="296">
        <v>19</v>
      </c>
      <c r="E17" s="292"/>
      <c r="F17" s="290"/>
      <c r="G17" s="290"/>
      <c r="H17" s="292"/>
      <c r="I17" s="287"/>
      <c r="J17" s="292"/>
    </row>
    <row r="18" spans="1:10" ht="15.45" x14ac:dyDescent="0.35">
      <c r="A18" s="284"/>
      <c r="B18" s="284"/>
      <c r="C18" s="284"/>
      <c r="D18" s="284"/>
    </row>
    <row r="19" spans="1:10" x14ac:dyDescent="0.3">
      <c r="A19" s="468" t="s">
        <v>191</v>
      </c>
      <c r="B19" s="468"/>
      <c r="C19" s="468"/>
    </row>
    <row r="20" spans="1:10" ht="16.05" thickBot="1" x14ac:dyDescent="0.4"/>
    <row r="21" spans="1:10" ht="16.2" thickBot="1" x14ac:dyDescent="0.35">
      <c r="A21" s="251">
        <v>1</v>
      </c>
      <c r="B21" s="252" t="s">
        <v>192</v>
      </c>
      <c r="C21" s="252" t="s">
        <v>193</v>
      </c>
    </row>
    <row r="22" spans="1:10" ht="16.2" thickBot="1" x14ac:dyDescent="0.35">
      <c r="A22" s="253" t="s">
        <v>194</v>
      </c>
      <c r="B22" s="254" t="s">
        <v>195</v>
      </c>
      <c r="C22" s="295">
        <v>1211.81</v>
      </c>
    </row>
    <row r="23" spans="1:10" ht="16.2" thickBot="1" x14ac:dyDescent="0.35">
      <c r="A23" s="253" t="s">
        <v>196</v>
      </c>
      <c r="B23" s="254" t="s">
        <v>197</v>
      </c>
      <c r="C23" s="295"/>
    </row>
    <row r="24" spans="1:10" ht="16.2" thickBot="1" x14ac:dyDescent="0.35">
      <c r="A24" s="253" t="s">
        <v>198</v>
      </c>
      <c r="B24" s="254" t="s">
        <v>199</v>
      </c>
      <c r="C24" s="295"/>
    </row>
    <row r="25" spans="1:10" ht="16.2" thickBot="1" x14ac:dyDescent="0.35">
      <c r="A25" s="253" t="s">
        <v>200</v>
      </c>
      <c r="B25" s="254" t="s">
        <v>11</v>
      </c>
      <c r="C25" s="295"/>
    </row>
    <row r="26" spans="1:10" ht="16.2" thickBot="1" x14ac:dyDescent="0.35">
      <c r="A26" s="253" t="s">
        <v>201</v>
      </c>
      <c r="B26" s="254" t="s">
        <v>202</v>
      </c>
      <c r="C26" s="295"/>
    </row>
    <row r="27" spans="1:10" ht="16.2" thickBot="1" x14ac:dyDescent="0.35">
      <c r="A27" s="253"/>
      <c r="B27" s="254"/>
      <c r="C27" s="295"/>
    </row>
    <row r="28" spans="1:10" ht="16.2" thickBot="1" x14ac:dyDescent="0.35">
      <c r="A28" s="253" t="s">
        <v>204</v>
      </c>
      <c r="B28" s="254" t="s">
        <v>205</v>
      </c>
      <c r="C28" s="295"/>
    </row>
    <row r="29" spans="1:10" ht="16.2" thickBot="1" x14ac:dyDescent="0.35">
      <c r="A29" s="464" t="s">
        <v>16</v>
      </c>
      <c r="B29" s="465"/>
      <c r="C29" s="299">
        <f>SUM(C22:C28)</f>
        <v>1211.81</v>
      </c>
    </row>
    <row r="31" spans="1:10" x14ac:dyDescent="0.3">
      <c r="A31" s="466" t="s">
        <v>206</v>
      </c>
      <c r="B31" s="466"/>
      <c r="C31" s="466"/>
    </row>
    <row r="32" spans="1:10" x14ac:dyDescent="0.3">
      <c r="A32" s="250"/>
    </row>
    <row r="33" spans="1:6" x14ac:dyDescent="0.3">
      <c r="A33" s="467" t="s">
        <v>207</v>
      </c>
      <c r="B33" s="467"/>
      <c r="C33" s="467"/>
    </row>
    <row r="34" spans="1:6" ht="16.2" thickBot="1" x14ac:dyDescent="0.35"/>
    <row r="35" spans="1:6" ht="16.2" thickBot="1" x14ac:dyDescent="0.35">
      <c r="A35" s="251" t="s">
        <v>208</v>
      </c>
      <c r="B35" s="252" t="s">
        <v>209</v>
      </c>
      <c r="C35" s="252" t="s">
        <v>193</v>
      </c>
    </row>
    <row r="36" spans="1:6" ht="16.2" thickBot="1" x14ac:dyDescent="0.35">
      <c r="A36" s="253" t="s">
        <v>194</v>
      </c>
      <c r="B36" s="254" t="s">
        <v>210</v>
      </c>
      <c r="C36" s="294">
        <f>C22*8.33%</f>
        <v>100.94377299999999</v>
      </c>
    </row>
    <row r="37" spans="1:6" ht="16.2" thickBot="1" x14ac:dyDescent="0.35">
      <c r="A37" s="253" t="s">
        <v>196</v>
      </c>
      <c r="B37" s="254" t="s">
        <v>314</v>
      </c>
      <c r="C37" s="294">
        <f>C22*11.11%</f>
        <v>134.63209099999997</v>
      </c>
    </row>
    <row r="38" spans="1:6" ht="16.2" thickBot="1" x14ac:dyDescent="0.35">
      <c r="A38" s="464" t="s">
        <v>16</v>
      </c>
      <c r="B38" s="465"/>
      <c r="C38" s="300">
        <f>SUM(C36:C37)</f>
        <v>235.57586399999997</v>
      </c>
    </row>
    <row r="41" spans="1:6" ht="32.25" customHeight="1" x14ac:dyDescent="0.3">
      <c r="A41" s="470" t="s">
        <v>211</v>
      </c>
      <c r="B41" s="470"/>
      <c r="C41" s="470"/>
      <c r="D41" s="470"/>
    </row>
    <row r="42" spans="1:6" ht="16.2" thickBot="1" x14ac:dyDescent="0.35"/>
    <row r="43" spans="1:6" ht="16.2" thickBot="1" x14ac:dyDescent="0.35">
      <c r="A43" s="251" t="s">
        <v>212</v>
      </c>
      <c r="B43" s="252" t="s">
        <v>213</v>
      </c>
      <c r="C43" s="252" t="s">
        <v>214</v>
      </c>
      <c r="D43" s="252" t="s">
        <v>193</v>
      </c>
    </row>
    <row r="44" spans="1:6" ht="16.2" thickBot="1" x14ac:dyDescent="0.35">
      <c r="A44" s="253" t="s">
        <v>194</v>
      </c>
      <c r="B44" s="254" t="s">
        <v>215</v>
      </c>
      <c r="C44" s="256">
        <v>0.2</v>
      </c>
      <c r="D44" s="294">
        <f>$C$22*C44</f>
        <v>242.36199999999999</v>
      </c>
      <c r="F44" s="298"/>
    </row>
    <row r="45" spans="1:6" ht="16.2" thickBot="1" x14ac:dyDescent="0.35">
      <c r="A45" s="253" t="s">
        <v>196</v>
      </c>
      <c r="B45" s="254" t="s">
        <v>216</v>
      </c>
      <c r="C45" s="256">
        <v>2.5000000000000001E-2</v>
      </c>
      <c r="D45" s="294">
        <f t="shared" ref="D45:D51" si="0">$C$22*C45</f>
        <v>30.295249999999999</v>
      </c>
      <c r="F45" s="298"/>
    </row>
    <row r="46" spans="1:6" ht="16.2" thickBot="1" x14ac:dyDescent="0.35">
      <c r="A46" s="253" t="s">
        <v>198</v>
      </c>
      <c r="B46" s="254" t="s">
        <v>217</v>
      </c>
      <c r="C46" s="256">
        <v>0.03</v>
      </c>
      <c r="D46" s="294">
        <f>$C$22*C46</f>
        <v>36.354299999999995</v>
      </c>
      <c r="F46" s="288"/>
    </row>
    <row r="47" spans="1:6" ht="16.2" thickBot="1" x14ac:dyDescent="0.35">
      <c r="A47" s="253" t="s">
        <v>200</v>
      </c>
      <c r="B47" s="254" t="s">
        <v>218</v>
      </c>
      <c r="C47" s="256">
        <v>1.4999999999999999E-2</v>
      </c>
      <c r="D47" s="294">
        <f t="shared" si="0"/>
        <v>18.177149999999997</v>
      </c>
      <c r="F47" s="298"/>
    </row>
    <row r="48" spans="1:6" ht="16.2" thickBot="1" x14ac:dyDescent="0.35">
      <c r="A48" s="253" t="s">
        <v>201</v>
      </c>
      <c r="B48" s="254" t="s">
        <v>219</v>
      </c>
      <c r="C48" s="256">
        <v>0.01</v>
      </c>
      <c r="D48" s="294">
        <f t="shared" si="0"/>
        <v>12.1181</v>
      </c>
      <c r="F48" s="298"/>
    </row>
    <row r="49" spans="1:6" ht="16.2" thickBot="1" x14ac:dyDescent="0.35">
      <c r="A49" s="253" t="s">
        <v>203</v>
      </c>
      <c r="B49" s="254" t="s">
        <v>29</v>
      </c>
      <c r="C49" s="256">
        <v>6.0000000000000001E-3</v>
      </c>
      <c r="D49" s="294">
        <f t="shared" si="0"/>
        <v>7.2708599999999999</v>
      </c>
      <c r="F49" s="298"/>
    </row>
    <row r="50" spans="1:6" ht="16.2" thickBot="1" x14ac:dyDescent="0.35">
      <c r="A50" s="253" t="s">
        <v>204</v>
      </c>
      <c r="B50" s="254" t="s">
        <v>30</v>
      </c>
      <c r="C50" s="256">
        <v>2E-3</v>
      </c>
      <c r="D50" s="294">
        <f t="shared" si="0"/>
        <v>2.4236200000000001</v>
      </c>
      <c r="F50" s="298"/>
    </row>
    <row r="51" spans="1:6" ht="16.2" thickBot="1" x14ac:dyDescent="0.35">
      <c r="A51" s="253" t="s">
        <v>220</v>
      </c>
      <c r="B51" s="254" t="s">
        <v>31</v>
      </c>
      <c r="C51" s="256">
        <v>0.08</v>
      </c>
      <c r="D51" s="294">
        <f t="shared" si="0"/>
        <v>96.944800000000001</v>
      </c>
      <c r="F51" s="298"/>
    </row>
    <row r="52" spans="1:6" ht="16.2" thickBot="1" x14ac:dyDescent="0.35">
      <c r="A52" s="464" t="s">
        <v>221</v>
      </c>
      <c r="B52" s="465"/>
      <c r="C52" s="302">
        <f>SUM(C44:C51)</f>
        <v>0.36800000000000005</v>
      </c>
      <c r="D52" s="300">
        <f>SUM(D44:D51)</f>
        <v>445.94607999999999</v>
      </c>
      <c r="F52" s="288"/>
    </row>
    <row r="55" spans="1:6" x14ac:dyDescent="0.3">
      <c r="A55" s="467" t="s">
        <v>222</v>
      </c>
      <c r="B55" s="467"/>
      <c r="C55" s="467"/>
    </row>
    <row r="56" spans="1:6" ht="16.2" thickBot="1" x14ac:dyDescent="0.35"/>
    <row r="57" spans="1:6" ht="16.2" thickBot="1" x14ac:dyDescent="0.35">
      <c r="A57" s="251" t="s">
        <v>223</v>
      </c>
      <c r="B57" s="252" t="s">
        <v>224</v>
      </c>
      <c r="C57" s="252" t="s">
        <v>193</v>
      </c>
    </row>
    <row r="58" spans="1:6" ht="16.2" thickBot="1" x14ac:dyDescent="0.35">
      <c r="A58" s="253" t="s">
        <v>194</v>
      </c>
      <c r="B58" s="254" t="s">
        <v>309</v>
      </c>
      <c r="C58" s="294">
        <f>(44*3.6)-(C29*0.06)</f>
        <v>85.691400000000016</v>
      </c>
    </row>
    <row r="59" spans="1:6" ht="16.2" thickBot="1" x14ac:dyDescent="0.35">
      <c r="A59" s="253" t="s">
        <v>196</v>
      </c>
      <c r="B59" s="254" t="s">
        <v>311</v>
      </c>
      <c r="C59" s="294">
        <f>(19.82*22)*90%</f>
        <v>392.43600000000004</v>
      </c>
    </row>
    <row r="60" spans="1:6" ht="16.2" thickBot="1" x14ac:dyDescent="0.35">
      <c r="A60" s="253" t="s">
        <v>198</v>
      </c>
      <c r="B60" s="254" t="s">
        <v>310</v>
      </c>
      <c r="C60" s="294">
        <v>0</v>
      </c>
    </row>
    <row r="61" spans="1:6" ht="16.2" thickBot="1" x14ac:dyDescent="0.35">
      <c r="A61" s="253" t="s">
        <v>200</v>
      </c>
      <c r="B61" s="254" t="s">
        <v>312</v>
      </c>
      <c r="C61" s="294">
        <v>6</v>
      </c>
    </row>
    <row r="62" spans="1:6" ht="16.2" thickBot="1" x14ac:dyDescent="0.35">
      <c r="A62" s="464" t="s">
        <v>16</v>
      </c>
      <c r="B62" s="465"/>
      <c r="C62" s="300">
        <f>SUM(C58:C61)</f>
        <v>484.12740000000008</v>
      </c>
    </row>
    <row r="65" spans="1:3" x14ac:dyDescent="0.3">
      <c r="A65" s="467" t="s">
        <v>227</v>
      </c>
      <c r="B65" s="467"/>
      <c r="C65" s="467"/>
    </row>
    <row r="66" spans="1:3" ht="16.2" thickBot="1" x14ac:dyDescent="0.35"/>
    <row r="67" spans="1:3" ht="16.2" thickBot="1" x14ac:dyDescent="0.35">
      <c r="A67" s="251">
        <v>2</v>
      </c>
      <c r="B67" s="252" t="s">
        <v>228</v>
      </c>
      <c r="C67" s="252" t="s">
        <v>193</v>
      </c>
    </row>
    <row r="68" spans="1:3" ht="16.2" thickBot="1" x14ac:dyDescent="0.35">
      <c r="A68" s="253" t="s">
        <v>208</v>
      </c>
      <c r="B68" s="254" t="s">
        <v>209</v>
      </c>
      <c r="C68" s="294">
        <f>C38</f>
        <v>235.57586399999997</v>
      </c>
    </row>
    <row r="69" spans="1:3" ht="16.2" thickBot="1" x14ac:dyDescent="0.35">
      <c r="A69" s="253" t="s">
        <v>212</v>
      </c>
      <c r="B69" s="254" t="s">
        <v>213</v>
      </c>
      <c r="C69" s="294">
        <f>D52</f>
        <v>445.94607999999999</v>
      </c>
    </row>
    <row r="70" spans="1:3" ht="16.2" thickBot="1" x14ac:dyDescent="0.35">
      <c r="A70" s="253" t="s">
        <v>223</v>
      </c>
      <c r="B70" s="254" t="s">
        <v>224</v>
      </c>
      <c r="C70" s="294">
        <f>C62</f>
        <v>484.12740000000008</v>
      </c>
    </row>
    <row r="71" spans="1:3" ht="16.2" thickBot="1" x14ac:dyDescent="0.35">
      <c r="A71" s="464" t="s">
        <v>16</v>
      </c>
      <c r="B71" s="465"/>
      <c r="C71" s="299">
        <f>SUM(C68:C70)</f>
        <v>1165.6493439999999</v>
      </c>
    </row>
    <row r="72" spans="1:3" x14ac:dyDescent="0.3">
      <c r="A72" s="33"/>
    </row>
    <row r="74" spans="1:3" x14ac:dyDescent="0.3">
      <c r="A74" s="466" t="s">
        <v>229</v>
      </c>
      <c r="B74" s="466"/>
      <c r="C74" s="466"/>
    </row>
    <row r="75" spans="1:3" ht="16.2" thickBot="1" x14ac:dyDescent="0.35"/>
    <row r="76" spans="1:3" ht="16.2" thickBot="1" x14ac:dyDescent="0.35">
      <c r="A76" s="251">
        <v>3</v>
      </c>
      <c r="B76" s="252" t="s">
        <v>230</v>
      </c>
      <c r="C76" s="252" t="s">
        <v>193</v>
      </c>
    </row>
    <row r="77" spans="1:3" ht="16.2" thickBot="1" x14ac:dyDescent="0.35">
      <c r="A77" s="253" t="s">
        <v>194</v>
      </c>
      <c r="B77" s="258" t="s">
        <v>231</v>
      </c>
      <c r="C77" s="309">
        <v>6.47</v>
      </c>
    </row>
    <row r="78" spans="1:3" ht="16.2" thickBot="1" x14ac:dyDescent="0.35">
      <c r="A78" s="253" t="s">
        <v>196</v>
      </c>
      <c r="B78" s="258" t="s">
        <v>232</v>
      </c>
      <c r="C78" s="294">
        <f>C77*8%</f>
        <v>0.51759999999999995</v>
      </c>
    </row>
    <row r="79" spans="1:3" ht="16.2" thickBot="1" x14ac:dyDescent="0.35">
      <c r="A79" s="253" t="s">
        <v>198</v>
      </c>
      <c r="B79" s="258" t="s">
        <v>233</v>
      </c>
      <c r="C79" s="294">
        <f>3%*C29</f>
        <v>36.354299999999995</v>
      </c>
    </row>
    <row r="80" spans="1:3" ht="16.2" thickBot="1" x14ac:dyDescent="0.35">
      <c r="A80" s="253" t="s">
        <v>200</v>
      </c>
      <c r="B80" s="258" t="s">
        <v>234</v>
      </c>
      <c r="C80" s="309">
        <v>32.049999999999997</v>
      </c>
    </row>
    <row r="81" spans="1:3" ht="16.2" thickBot="1" x14ac:dyDescent="0.35">
      <c r="A81" s="253" t="s">
        <v>201</v>
      </c>
      <c r="B81" s="258" t="s">
        <v>235</v>
      </c>
      <c r="C81" s="294">
        <f>C80*C52</f>
        <v>11.794400000000001</v>
      </c>
    </row>
    <row r="82" spans="1:3" ht="16.2" thickBot="1" x14ac:dyDescent="0.35">
      <c r="A82" s="253" t="s">
        <v>203</v>
      </c>
      <c r="B82" s="258" t="s">
        <v>236</v>
      </c>
      <c r="C82" s="294">
        <f>1%*C29</f>
        <v>12.1181</v>
      </c>
    </row>
    <row r="83" spans="1:3" ht="16.2" thickBot="1" x14ac:dyDescent="0.35">
      <c r="A83" s="464" t="s">
        <v>16</v>
      </c>
      <c r="B83" s="465"/>
      <c r="C83" s="300">
        <f>SUM(C77:C82)</f>
        <v>99.304399999999987</v>
      </c>
    </row>
    <row r="86" spans="1:3" x14ac:dyDescent="0.3">
      <c r="A86" s="466" t="s">
        <v>237</v>
      </c>
      <c r="B86" s="466"/>
      <c r="C86" s="466"/>
    </row>
    <row r="89" spans="1:3" x14ac:dyDescent="0.3">
      <c r="A89" s="467" t="s">
        <v>238</v>
      </c>
      <c r="B89" s="467"/>
      <c r="C89" s="467"/>
    </row>
    <row r="90" spans="1:3" ht="16.2" thickBot="1" x14ac:dyDescent="0.35">
      <c r="A90" s="250"/>
    </row>
    <row r="91" spans="1:3" ht="16.2" thickBot="1" x14ac:dyDescent="0.35">
      <c r="A91" s="251" t="s">
        <v>239</v>
      </c>
      <c r="B91" s="252" t="s">
        <v>240</v>
      </c>
      <c r="C91" s="252" t="s">
        <v>193</v>
      </c>
    </row>
    <row r="92" spans="1:3" ht="16.2" thickBot="1" x14ac:dyDescent="0.35">
      <c r="A92" s="253" t="s">
        <v>194</v>
      </c>
      <c r="B92" s="254" t="s">
        <v>20</v>
      </c>
      <c r="C92" s="294">
        <f>'CUSTO SUBST FÉRIAS'!B11</f>
        <v>177.74599499999999</v>
      </c>
    </row>
    <row r="93" spans="1:3" ht="16.2" thickBot="1" x14ac:dyDescent="0.35">
      <c r="A93" s="253" t="s">
        <v>196</v>
      </c>
      <c r="B93" s="254" t="s">
        <v>240</v>
      </c>
      <c r="C93" s="301">
        <v>12.13</v>
      </c>
    </row>
    <row r="94" spans="1:3" ht="16.2" thickBot="1" x14ac:dyDescent="0.35">
      <c r="A94" s="253" t="s">
        <v>198</v>
      </c>
      <c r="B94" s="254" t="s">
        <v>241</v>
      </c>
      <c r="C94" s="301">
        <v>0.52</v>
      </c>
    </row>
    <row r="95" spans="1:3" ht="16.2" thickBot="1" x14ac:dyDescent="0.35">
      <c r="A95" s="253" t="s">
        <v>200</v>
      </c>
      <c r="B95" s="254" t="s">
        <v>242</v>
      </c>
      <c r="C95" s="301">
        <v>1.36</v>
      </c>
    </row>
    <row r="96" spans="1:3" ht="16.2" thickBot="1" x14ac:dyDescent="0.35">
      <c r="A96" s="253" t="s">
        <v>201</v>
      </c>
      <c r="B96" s="254" t="s">
        <v>243</v>
      </c>
      <c r="C96" s="301">
        <v>0.7</v>
      </c>
    </row>
    <row r="97" spans="1:3" ht="16.2" thickBot="1" x14ac:dyDescent="0.35">
      <c r="A97" s="253" t="s">
        <v>203</v>
      </c>
      <c r="B97" s="254" t="s">
        <v>205</v>
      </c>
      <c r="C97" s="301"/>
    </row>
    <row r="98" spans="1:3" ht="16.2" thickBot="1" x14ac:dyDescent="0.35">
      <c r="A98" s="464" t="s">
        <v>221</v>
      </c>
      <c r="B98" s="465"/>
      <c r="C98" s="300">
        <f>SUM(C92:C97)</f>
        <v>192.455995</v>
      </c>
    </row>
    <row r="101" spans="1:3" x14ac:dyDescent="0.3">
      <c r="A101" s="467" t="s">
        <v>244</v>
      </c>
      <c r="B101" s="467"/>
      <c r="C101" s="467"/>
    </row>
    <row r="102" spans="1:3" ht="16.2" thickBot="1" x14ac:dyDescent="0.35">
      <c r="A102" s="250"/>
    </row>
    <row r="103" spans="1:3" ht="16.2" thickBot="1" x14ac:dyDescent="0.35">
      <c r="A103" s="251" t="s">
        <v>245</v>
      </c>
      <c r="B103" s="252" t="s">
        <v>246</v>
      </c>
      <c r="C103" s="252" t="s">
        <v>193</v>
      </c>
    </row>
    <row r="104" spans="1:3" ht="16.2" thickBot="1" x14ac:dyDescent="0.35">
      <c r="A104" s="253" t="s">
        <v>194</v>
      </c>
      <c r="B104" s="254" t="s">
        <v>279</v>
      </c>
      <c r="C104" s="255">
        <v>0</v>
      </c>
    </row>
    <row r="105" spans="1:3" ht="16.2" thickBot="1" x14ac:dyDescent="0.35">
      <c r="A105" s="464" t="s">
        <v>16</v>
      </c>
      <c r="B105" s="465"/>
      <c r="C105" s="311">
        <v>0</v>
      </c>
    </row>
    <row r="108" spans="1:3" x14ac:dyDescent="0.3">
      <c r="A108" s="467" t="s">
        <v>247</v>
      </c>
      <c r="B108" s="467"/>
      <c r="C108" s="467"/>
    </row>
    <row r="109" spans="1:3" ht="16.2" thickBot="1" x14ac:dyDescent="0.35">
      <c r="A109" s="250"/>
    </row>
    <row r="110" spans="1:3" ht="16.2" thickBot="1" x14ac:dyDescent="0.35">
      <c r="A110" s="251">
        <v>4</v>
      </c>
      <c r="B110" s="252" t="s">
        <v>248</v>
      </c>
      <c r="C110" s="252" t="s">
        <v>193</v>
      </c>
    </row>
    <row r="111" spans="1:3" ht="16.2" thickBot="1" x14ac:dyDescent="0.35">
      <c r="A111" s="253" t="s">
        <v>239</v>
      </c>
      <c r="B111" s="254" t="s">
        <v>240</v>
      </c>
      <c r="C111" s="310">
        <f>C98</f>
        <v>192.455995</v>
      </c>
    </row>
    <row r="112" spans="1:3" ht="16.2" thickBot="1" x14ac:dyDescent="0.35">
      <c r="A112" s="253" t="s">
        <v>245</v>
      </c>
      <c r="B112" s="254" t="s">
        <v>246</v>
      </c>
      <c r="C112" s="308">
        <f>C105</f>
        <v>0</v>
      </c>
    </row>
    <row r="113" spans="1:4" ht="16.2" thickBot="1" x14ac:dyDescent="0.35">
      <c r="A113" s="464" t="s">
        <v>16</v>
      </c>
      <c r="B113" s="465"/>
      <c r="C113" s="300">
        <f>SUM(C111:C112)</f>
        <v>192.455995</v>
      </c>
    </row>
    <row r="116" spans="1:4" x14ac:dyDescent="0.3">
      <c r="A116" s="466" t="s">
        <v>249</v>
      </c>
      <c r="B116" s="466"/>
      <c r="C116" s="466"/>
    </row>
    <row r="117" spans="1:4" ht="16.2" thickBot="1" x14ac:dyDescent="0.35"/>
    <row r="118" spans="1:4" ht="16.2" thickBot="1" x14ac:dyDescent="0.35">
      <c r="A118" s="251">
        <v>5</v>
      </c>
      <c r="B118" s="259" t="s">
        <v>134</v>
      </c>
      <c r="C118" s="252" t="s">
        <v>193</v>
      </c>
    </row>
    <row r="119" spans="1:4" ht="16.2" thickBot="1" x14ac:dyDescent="0.35">
      <c r="A119" s="253" t="s">
        <v>194</v>
      </c>
      <c r="B119" s="254" t="s">
        <v>250</v>
      </c>
      <c r="C119" s="301">
        <v>47.55</v>
      </c>
    </row>
    <row r="120" spans="1:4" ht="16.2" thickBot="1" x14ac:dyDescent="0.35">
      <c r="A120" s="253" t="s">
        <v>196</v>
      </c>
      <c r="B120" s="254" t="s">
        <v>251</v>
      </c>
      <c r="C120" s="301">
        <v>985.82</v>
      </c>
    </row>
    <row r="121" spans="1:4" ht="16.2" thickBot="1" x14ac:dyDescent="0.35">
      <c r="A121" s="253" t="s">
        <v>198</v>
      </c>
      <c r="B121" s="254" t="s">
        <v>252</v>
      </c>
      <c r="C121" s="309">
        <v>56.74</v>
      </c>
    </row>
    <row r="122" spans="1:4" ht="16.2" thickBot="1" x14ac:dyDescent="0.35">
      <c r="A122" s="253" t="s">
        <v>200</v>
      </c>
      <c r="B122" s="254" t="s">
        <v>205</v>
      </c>
      <c r="C122" s="301"/>
    </row>
    <row r="123" spans="1:4" ht="16.2" thickBot="1" x14ac:dyDescent="0.35">
      <c r="A123" s="464" t="s">
        <v>221</v>
      </c>
      <c r="B123" s="465"/>
      <c r="C123" s="311">
        <f>SUM(C119:C122)</f>
        <v>1090.1100000000001</v>
      </c>
    </row>
    <row r="126" spans="1:4" x14ac:dyDescent="0.3">
      <c r="A126" s="466" t="s">
        <v>253</v>
      </c>
      <c r="B126" s="466"/>
      <c r="C126" s="466"/>
    </row>
    <row r="127" spans="1:4" ht="16.2" thickBot="1" x14ac:dyDescent="0.35"/>
    <row r="128" spans="1:4" ht="16.2" thickBot="1" x14ac:dyDescent="0.35">
      <c r="A128" s="251">
        <v>6</v>
      </c>
      <c r="B128" s="259" t="s">
        <v>135</v>
      </c>
      <c r="C128" s="252" t="s">
        <v>214</v>
      </c>
      <c r="D128" s="252" t="s">
        <v>193</v>
      </c>
    </row>
    <row r="129" spans="1:4" ht="16.2" thickBot="1" x14ac:dyDescent="0.35">
      <c r="A129" s="253" t="s">
        <v>194</v>
      </c>
      <c r="B129" s="254" t="s">
        <v>167</v>
      </c>
      <c r="C129" s="301"/>
      <c r="D129" s="309">
        <v>246.41</v>
      </c>
    </row>
    <row r="130" spans="1:4" ht="16.2" thickBot="1" x14ac:dyDescent="0.35">
      <c r="A130" s="253" t="s">
        <v>196</v>
      </c>
      <c r="B130" s="254" t="s">
        <v>169</v>
      </c>
      <c r="C130" s="301"/>
      <c r="D130" s="309">
        <v>239.39</v>
      </c>
    </row>
    <row r="131" spans="1:4" ht="16.2" thickBot="1" x14ac:dyDescent="0.35">
      <c r="A131" s="253" t="s">
        <v>198</v>
      </c>
      <c r="B131" s="254" t="s">
        <v>168</v>
      </c>
      <c r="C131" s="301"/>
      <c r="D131" s="309">
        <f>C131*C146</f>
        <v>0</v>
      </c>
    </row>
    <row r="132" spans="1:4" ht="16.2" thickBot="1" x14ac:dyDescent="0.35">
      <c r="A132" s="253"/>
      <c r="B132" s="254" t="s">
        <v>323</v>
      </c>
      <c r="C132" s="256">
        <v>3.6499999999999998E-2</v>
      </c>
      <c r="D132" s="310">
        <f>C132*C146</f>
        <v>137.21553547349998</v>
      </c>
    </row>
    <row r="133" spans="1:4" ht="16.2" thickBot="1" x14ac:dyDescent="0.35">
      <c r="A133" s="253"/>
      <c r="B133" s="254" t="s">
        <v>255</v>
      </c>
      <c r="C133" s="255">
        <v>0</v>
      </c>
      <c r="D133" s="310">
        <f>C133*C148</f>
        <v>0</v>
      </c>
    </row>
    <row r="134" spans="1:4" ht="16.2" thickBot="1" x14ac:dyDescent="0.35">
      <c r="A134" s="253"/>
      <c r="B134" s="254" t="s">
        <v>324</v>
      </c>
      <c r="C134" s="306">
        <v>0.05</v>
      </c>
      <c r="D134" s="310">
        <f>C134*C146</f>
        <v>187.96648694999999</v>
      </c>
    </row>
    <row r="135" spans="1:4" ht="16.2" thickBot="1" x14ac:dyDescent="0.35">
      <c r="A135" s="464" t="s">
        <v>221</v>
      </c>
      <c r="B135" s="465"/>
      <c r="C135" s="307">
        <f>SUM(C129:C134)</f>
        <v>8.6499999999999994E-2</v>
      </c>
      <c r="D135" s="300">
        <f>SUM(D129:D134)</f>
        <v>810.98202242349998</v>
      </c>
    </row>
    <row r="138" spans="1:4" x14ac:dyDescent="0.3">
      <c r="A138" s="466" t="s">
        <v>257</v>
      </c>
      <c r="B138" s="466"/>
      <c r="C138" s="466"/>
    </row>
    <row r="139" spans="1:4" ht="16.2" thickBot="1" x14ac:dyDescent="0.35"/>
    <row r="140" spans="1:4" ht="16.2" thickBot="1" x14ac:dyDescent="0.35">
      <c r="A140" s="251"/>
      <c r="B140" s="252" t="s">
        <v>258</v>
      </c>
      <c r="C140" s="252" t="s">
        <v>193</v>
      </c>
    </row>
    <row r="141" spans="1:4" ht="16.2" thickBot="1" x14ac:dyDescent="0.35">
      <c r="A141" s="261" t="s">
        <v>194</v>
      </c>
      <c r="B141" s="254" t="s">
        <v>191</v>
      </c>
      <c r="C141" s="295">
        <f>C29</f>
        <v>1211.81</v>
      </c>
    </row>
    <row r="142" spans="1:4" ht="16.2" thickBot="1" x14ac:dyDescent="0.35">
      <c r="A142" s="261" t="s">
        <v>196</v>
      </c>
      <c r="B142" s="254" t="s">
        <v>206</v>
      </c>
      <c r="C142" s="295">
        <f>C71</f>
        <v>1165.6493439999999</v>
      </c>
    </row>
    <row r="143" spans="1:4" ht="16.2" thickBot="1" x14ac:dyDescent="0.35">
      <c r="A143" s="261" t="s">
        <v>198</v>
      </c>
      <c r="B143" s="254" t="s">
        <v>229</v>
      </c>
      <c r="C143" s="294">
        <f>C83</f>
        <v>99.304399999999987</v>
      </c>
    </row>
    <row r="144" spans="1:4" ht="16.2" thickBot="1" x14ac:dyDescent="0.35">
      <c r="A144" s="261" t="s">
        <v>200</v>
      </c>
      <c r="B144" s="254" t="s">
        <v>237</v>
      </c>
      <c r="C144" s="294">
        <f>C113</f>
        <v>192.455995</v>
      </c>
    </row>
    <row r="145" spans="1:4" ht="16.2" thickBot="1" x14ac:dyDescent="0.35">
      <c r="A145" s="261" t="s">
        <v>201</v>
      </c>
      <c r="B145" s="254" t="s">
        <v>249</v>
      </c>
      <c r="C145" s="294">
        <f>C123</f>
        <v>1090.1100000000001</v>
      </c>
    </row>
    <row r="146" spans="1:4" ht="16.2" thickBot="1" x14ac:dyDescent="0.35">
      <c r="A146" s="464" t="s">
        <v>259</v>
      </c>
      <c r="B146" s="465"/>
      <c r="C146" s="299">
        <f>SUM(C141:C145)</f>
        <v>3759.3297389999998</v>
      </c>
    </row>
    <row r="147" spans="1:4" ht="16.2" thickBot="1" x14ac:dyDescent="0.35">
      <c r="A147" s="261" t="s">
        <v>203</v>
      </c>
      <c r="B147" s="254" t="s">
        <v>260</v>
      </c>
      <c r="C147" s="294">
        <v>810.98</v>
      </c>
    </row>
    <row r="148" spans="1:4" ht="16.2" thickBot="1" x14ac:dyDescent="0.35">
      <c r="A148" s="464" t="s">
        <v>261</v>
      </c>
      <c r="B148" s="465"/>
      <c r="C148" s="299">
        <f>SUM(C146:C147)</f>
        <v>4570.3097390000003</v>
      </c>
      <c r="D148" s="326"/>
    </row>
  </sheetData>
  <mergeCells count="42">
    <mergeCell ref="A1:D1"/>
    <mergeCell ref="A2:D2"/>
    <mergeCell ref="A123:B123"/>
    <mergeCell ref="A116:C116"/>
    <mergeCell ref="A29:B29"/>
    <mergeCell ref="A19:C19"/>
    <mergeCell ref="A38:B38"/>
    <mergeCell ref="A31:C31"/>
    <mergeCell ref="A3:D3"/>
    <mergeCell ref="A33:C33"/>
    <mergeCell ref="A52:B52"/>
    <mergeCell ref="A41:D41"/>
    <mergeCell ref="C13:D13"/>
    <mergeCell ref="A16:B16"/>
    <mergeCell ref="A17:B17"/>
    <mergeCell ref="A62:B62"/>
    <mergeCell ref="A55:C55"/>
    <mergeCell ref="A71:B71"/>
    <mergeCell ref="A65:C65"/>
    <mergeCell ref="A83:B83"/>
    <mergeCell ref="A74:C74"/>
    <mergeCell ref="A148:B148"/>
    <mergeCell ref="A138:C138"/>
    <mergeCell ref="A86:C86"/>
    <mergeCell ref="A98:B98"/>
    <mergeCell ref="A89:C89"/>
    <mergeCell ref="A105:B105"/>
    <mergeCell ref="A101:C101"/>
    <mergeCell ref="A113:B113"/>
    <mergeCell ref="A108:C108"/>
    <mergeCell ref="A146:B146"/>
    <mergeCell ref="A135:B135"/>
    <mergeCell ref="A126:C126"/>
    <mergeCell ref="A5:D5"/>
    <mergeCell ref="A8:D8"/>
    <mergeCell ref="A9:D9"/>
    <mergeCell ref="A15:D15"/>
    <mergeCell ref="A7:D7"/>
    <mergeCell ref="A6:D6"/>
    <mergeCell ref="C10:D10"/>
    <mergeCell ref="C11:D11"/>
    <mergeCell ref="C12:D12"/>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
  <sheetViews>
    <sheetView showGridLines="0" zoomScale="115" zoomScaleNormal="115" workbookViewId="0">
      <selection activeCell="C149" sqref="C149"/>
    </sheetView>
  </sheetViews>
  <sheetFormatPr defaultColWidth="9.21875" defaultRowHeight="15.6" x14ac:dyDescent="0.3"/>
  <cols>
    <col min="1" max="1" width="9.21875" style="260"/>
    <col min="2" max="2" width="72.21875" style="260" customWidth="1"/>
    <col min="3" max="3" width="18" style="260" customWidth="1"/>
    <col min="4" max="4" width="14.21875" style="260" customWidth="1"/>
    <col min="5" max="5" width="12.77734375" style="260" customWidth="1"/>
    <col min="6" max="6" width="12" style="260" customWidth="1"/>
    <col min="7" max="7" width="15.21875" style="260" customWidth="1"/>
    <col min="8" max="16384" width="9.21875" style="260"/>
  </cols>
  <sheetData>
    <row r="1" spans="1:4" ht="22.8" x14ac:dyDescent="0.4">
      <c r="A1" s="428" t="s">
        <v>262</v>
      </c>
      <c r="B1" s="428"/>
      <c r="C1" s="428"/>
      <c r="D1" s="428"/>
    </row>
    <row r="2" spans="1:4" ht="22.8" x14ac:dyDescent="0.4">
      <c r="A2" s="428" t="s">
        <v>264</v>
      </c>
      <c r="B2" s="428"/>
      <c r="C2" s="428"/>
      <c r="D2" s="428"/>
    </row>
    <row r="3" spans="1:4" x14ac:dyDescent="0.3">
      <c r="A3" s="469" t="s">
        <v>278</v>
      </c>
      <c r="B3" s="469"/>
      <c r="C3" s="469"/>
      <c r="D3" s="469"/>
    </row>
    <row r="5" spans="1:4" x14ac:dyDescent="0.3">
      <c r="A5" s="455" t="s">
        <v>293</v>
      </c>
      <c r="B5" s="456"/>
      <c r="C5" s="456"/>
      <c r="D5" s="457"/>
    </row>
    <row r="6" spans="1:4" ht="15.45" x14ac:dyDescent="0.35">
      <c r="A6" s="462" t="s">
        <v>305</v>
      </c>
      <c r="B6" s="462"/>
      <c r="C6" s="462"/>
      <c r="D6" s="462"/>
    </row>
    <row r="7" spans="1:4" x14ac:dyDescent="0.3">
      <c r="A7" s="462" t="s">
        <v>306</v>
      </c>
      <c r="B7" s="462"/>
      <c r="C7" s="462"/>
      <c r="D7" s="462"/>
    </row>
    <row r="8" spans="1:4" ht="15.45" x14ac:dyDescent="0.35">
      <c r="A8" s="458"/>
      <c r="B8" s="459"/>
      <c r="C8" s="459"/>
      <c r="D8" s="460"/>
    </row>
    <row r="9" spans="1:4" x14ac:dyDescent="0.3">
      <c r="A9" s="461" t="s">
        <v>294</v>
      </c>
      <c r="B9" s="461"/>
      <c r="C9" s="461"/>
      <c r="D9" s="461"/>
    </row>
    <row r="10" spans="1:4" x14ac:dyDescent="0.3">
      <c r="A10" s="296" t="s">
        <v>194</v>
      </c>
      <c r="B10" s="297" t="s">
        <v>295</v>
      </c>
      <c r="C10" s="463"/>
      <c r="D10" s="463"/>
    </row>
    <row r="11" spans="1:4" x14ac:dyDescent="0.3">
      <c r="A11" s="296" t="s">
        <v>196</v>
      </c>
      <c r="B11" s="297" t="s">
        <v>296</v>
      </c>
      <c r="C11" s="463" t="s">
        <v>297</v>
      </c>
      <c r="D11" s="463"/>
    </row>
    <row r="12" spans="1:4" x14ac:dyDescent="0.3">
      <c r="A12" s="296" t="s">
        <v>198</v>
      </c>
      <c r="B12" s="297" t="s">
        <v>298</v>
      </c>
      <c r="C12" s="463" t="s">
        <v>307</v>
      </c>
      <c r="D12" s="463"/>
    </row>
    <row r="13" spans="1:4" x14ac:dyDescent="0.3">
      <c r="A13" s="296" t="s">
        <v>200</v>
      </c>
      <c r="B13" s="297" t="s">
        <v>299</v>
      </c>
      <c r="C13" s="463">
        <v>12</v>
      </c>
      <c r="D13" s="463"/>
    </row>
    <row r="14" spans="1:4" ht="15.45" x14ac:dyDescent="0.35">
      <c r="A14" s="287"/>
      <c r="B14" s="287"/>
      <c r="C14" s="287"/>
      <c r="D14" s="287"/>
    </row>
    <row r="15" spans="1:4" x14ac:dyDescent="0.3">
      <c r="A15" s="461" t="s">
        <v>300</v>
      </c>
      <c r="B15" s="461"/>
      <c r="C15" s="461"/>
      <c r="D15" s="461"/>
    </row>
    <row r="16" spans="1:4" ht="27.6" x14ac:dyDescent="0.3">
      <c r="A16" s="471" t="s">
        <v>301</v>
      </c>
      <c r="B16" s="471"/>
      <c r="C16" s="293" t="s">
        <v>302</v>
      </c>
      <c r="D16" s="285" t="s">
        <v>303</v>
      </c>
    </row>
    <row r="17" spans="1:4" ht="15.45" x14ac:dyDescent="0.35">
      <c r="A17" s="462" t="s">
        <v>313</v>
      </c>
      <c r="B17" s="462"/>
      <c r="C17" s="296" t="s">
        <v>304</v>
      </c>
      <c r="D17" s="296">
        <v>1</v>
      </c>
    </row>
    <row r="19" spans="1:4" x14ac:dyDescent="0.3">
      <c r="A19" s="468" t="s">
        <v>191</v>
      </c>
      <c r="B19" s="468"/>
      <c r="C19" s="468"/>
    </row>
    <row r="20" spans="1:4" ht="16.05" thickBot="1" x14ac:dyDescent="0.4"/>
    <row r="21" spans="1:4" ht="16.2" thickBot="1" x14ac:dyDescent="0.35">
      <c r="A21" s="251">
        <v>1</v>
      </c>
      <c r="B21" s="283" t="s">
        <v>192</v>
      </c>
      <c r="C21" s="283" t="s">
        <v>193</v>
      </c>
    </row>
    <row r="22" spans="1:4" ht="16.2" thickBot="1" x14ac:dyDescent="0.35">
      <c r="A22" s="253" t="s">
        <v>194</v>
      </c>
      <c r="B22" s="254" t="s">
        <v>195</v>
      </c>
      <c r="C22" s="295">
        <v>1800.74</v>
      </c>
    </row>
    <row r="23" spans="1:4" ht="16.05" thickBot="1" x14ac:dyDescent="0.4">
      <c r="A23" s="253" t="s">
        <v>196</v>
      </c>
      <c r="B23" s="254" t="s">
        <v>197</v>
      </c>
      <c r="C23" s="295"/>
    </row>
    <row r="24" spans="1:4" ht="16.05" thickBot="1" x14ac:dyDescent="0.4">
      <c r="A24" s="253" t="s">
        <v>198</v>
      </c>
      <c r="B24" s="254" t="s">
        <v>199</v>
      </c>
      <c r="C24" s="295"/>
    </row>
    <row r="25" spans="1:4" ht="16.2" thickBot="1" x14ac:dyDescent="0.35">
      <c r="A25" s="253" t="s">
        <v>200</v>
      </c>
      <c r="B25" s="254" t="s">
        <v>11</v>
      </c>
      <c r="C25" s="295"/>
    </row>
    <row r="26" spans="1:4" ht="16.2" thickBot="1" x14ac:dyDescent="0.35">
      <c r="A26" s="253" t="s">
        <v>201</v>
      </c>
      <c r="B26" s="254" t="s">
        <v>202</v>
      </c>
      <c r="C26" s="295"/>
    </row>
    <row r="27" spans="1:4" ht="16.2" thickBot="1" x14ac:dyDescent="0.35">
      <c r="A27" s="253"/>
      <c r="B27" s="254"/>
      <c r="C27" s="295"/>
    </row>
    <row r="28" spans="1:4" ht="16.2" thickBot="1" x14ac:dyDescent="0.35">
      <c r="A28" s="253" t="s">
        <v>204</v>
      </c>
      <c r="B28" s="254" t="s">
        <v>205</v>
      </c>
      <c r="C28" s="295"/>
    </row>
    <row r="29" spans="1:4" ht="16.2" thickBot="1" x14ac:dyDescent="0.35">
      <c r="A29" s="464" t="s">
        <v>16</v>
      </c>
      <c r="B29" s="465"/>
      <c r="C29" s="299">
        <f>SUM(C22:C28)</f>
        <v>1800.74</v>
      </c>
    </row>
    <row r="32" spans="1:4" x14ac:dyDescent="0.3">
      <c r="A32" s="466" t="s">
        <v>206</v>
      </c>
      <c r="B32" s="466"/>
      <c r="C32" s="466"/>
    </row>
    <row r="33" spans="1:4" x14ac:dyDescent="0.3">
      <c r="A33" s="250"/>
    </row>
    <row r="34" spans="1:4" x14ac:dyDescent="0.3">
      <c r="A34" s="467" t="s">
        <v>207</v>
      </c>
      <c r="B34" s="467"/>
      <c r="C34" s="467"/>
    </row>
    <row r="35" spans="1:4" ht="16.2" thickBot="1" x14ac:dyDescent="0.35"/>
    <row r="36" spans="1:4" ht="16.2" thickBot="1" x14ac:dyDescent="0.35">
      <c r="A36" s="251" t="s">
        <v>208</v>
      </c>
      <c r="B36" s="283" t="s">
        <v>209</v>
      </c>
      <c r="C36" s="283" t="s">
        <v>193</v>
      </c>
    </row>
    <row r="37" spans="1:4" ht="16.2" thickBot="1" x14ac:dyDescent="0.35">
      <c r="A37" s="253" t="s">
        <v>194</v>
      </c>
      <c r="B37" s="254" t="s">
        <v>210</v>
      </c>
      <c r="C37" s="294">
        <f>C22*8.33%</f>
        <v>150.001642</v>
      </c>
    </row>
    <row r="38" spans="1:4" ht="16.2" thickBot="1" x14ac:dyDescent="0.35">
      <c r="A38" s="253" t="s">
        <v>196</v>
      </c>
      <c r="B38" s="254" t="s">
        <v>314</v>
      </c>
      <c r="C38" s="294">
        <f>C22*11.11%</f>
        <v>200.06221399999998</v>
      </c>
    </row>
    <row r="39" spans="1:4" ht="16.2" thickBot="1" x14ac:dyDescent="0.35">
      <c r="A39" s="464" t="s">
        <v>16</v>
      </c>
      <c r="B39" s="465"/>
      <c r="C39" s="300">
        <f>SUM(C37:C38)</f>
        <v>350.06385599999999</v>
      </c>
    </row>
    <row r="42" spans="1:4" ht="32.25" customHeight="1" x14ac:dyDescent="0.3">
      <c r="A42" s="470" t="s">
        <v>211</v>
      </c>
      <c r="B42" s="470"/>
      <c r="C42" s="470"/>
      <c r="D42" s="470"/>
    </row>
    <row r="43" spans="1:4" ht="16.2" thickBot="1" x14ac:dyDescent="0.35"/>
    <row r="44" spans="1:4" ht="16.2" thickBot="1" x14ac:dyDescent="0.35">
      <c r="A44" s="251" t="s">
        <v>212</v>
      </c>
      <c r="B44" s="283" t="s">
        <v>213</v>
      </c>
      <c r="C44" s="283" t="s">
        <v>214</v>
      </c>
      <c r="D44" s="283" t="s">
        <v>193</v>
      </c>
    </row>
    <row r="45" spans="1:4" ht="16.2" thickBot="1" x14ac:dyDescent="0.35">
      <c r="A45" s="253" t="s">
        <v>194</v>
      </c>
      <c r="B45" s="254" t="s">
        <v>215</v>
      </c>
      <c r="C45" s="256">
        <v>0.2</v>
      </c>
      <c r="D45" s="294">
        <f>$C$22*C45</f>
        <v>360.14800000000002</v>
      </c>
    </row>
    <row r="46" spans="1:4" ht="16.2" thickBot="1" x14ac:dyDescent="0.35">
      <c r="A46" s="253" t="s">
        <v>196</v>
      </c>
      <c r="B46" s="254" t="s">
        <v>216</v>
      </c>
      <c r="C46" s="256">
        <v>2.5000000000000001E-2</v>
      </c>
      <c r="D46" s="294">
        <f t="shared" ref="D46:D52" si="0">$C$22*C46</f>
        <v>45.018500000000003</v>
      </c>
    </row>
    <row r="47" spans="1:4" ht="16.2" thickBot="1" x14ac:dyDescent="0.35">
      <c r="A47" s="253" t="s">
        <v>198</v>
      </c>
      <c r="B47" s="254" t="s">
        <v>217</v>
      </c>
      <c r="C47" s="256">
        <v>0.03</v>
      </c>
      <c r="D47" s="294">
        <f t="shared" si="0"/>
        <v>54.022199999999998</v>
      </c>
    </row>
    <row r="48" spans="1:4" ht="16.2" thickBot="1" x14ac:dyDescent="0.35">
      <c r="A48" s="253" t="s">
        <v>200</v>
      </c>
      <c r="B48" s="254" t="s">
        <v>218</v>
      </c>
      <c r="C48" s="256">
        <v>1.4999999999999999E-2</v>
      </c>
      <c r="D48" s="294">
        <f t="shared" si="0"/>
        <v>27.011099999999999</v>
      </c>
    </row>
    <row r="49" spans="1:4" ht="16.2" thickBot="1" x14ac:dyDescent="0.35">
      <c r="A49" s="253" t="s">
        <v>201</v>
      </c>
      <c r="B49" s="254" t="s">
        <v>219</v>
      </c>
      <c r="C49" s="256">
        <v>0.01</v>
      </c>
      <c r="D49" s="294">
        <f t="shared" si="0"/>
        <v>18.007400000000001</v>
      </c>
    </row>
    <row r="50" spans="1:4" ht="16.2" thickBot="1" x14ac:dyDescent="0.35">
      <c r="A50" s="253" t="s">
        <v>203</v>
      </c>
      <c r="B50" s="254" t="s">
        <v>29</v>
      </c>
      <c r="C50" s="256">
        <v>6.0000000000000001E-3</v>
      </c>
      <c r="D50" s="294">
        <f t="shared" si="0"/>
        <v>10.80444</v>
      </c>
    </row>
    <row r="51" spans="1:4" ht="16.2" thickBot="1" x14ac:dyDescent="0.35">
      <c r="A51" s="253" t="s">
        <v>204</v>
      </c>
      <c r="B51" s="254" t="s">
        <v>30</v>
      </c>
      <c r="C51" s="256">
        <v>2E-3</v>
      </c>
      <c r="D51" s="294">
        <f t="shared" si="0"/>
        <v>3.60148</v>
      </c>
    </row>
    <row r="52" spans="1:4" ht="16.2" thickBot="1" x14ac:dyDescent="0.35">
      <c r="A52" s="253" t="s">
        <v>220</v>
      </c>
      <c r="B52" s="254" t="s">
        <v>31</v>
      </c>
      <c r="C52" s="256">
        <v>0.08</v>
      </c>
      <c r="D52" s="294">
        <f t="shared" si="0"/>
        <v>144.0592</v>
      </c>
    </row>
    <row r="53" spans="1:4" ht="16.2" thickBot="1" x14ac:dyDescent="0.35">
      <c r="A53" s="464" t="s">
        <v>221</v>
      </c>
      <c r="B53" s="465"/>
      <c r="C53" s="302">
        <f>SUM(C45:C52)</f>
        <v>0.36800000000000005</v>
      </c>
      <c r="D53" s="300">
        <f>SUM(D45:D52)</f>
        <v>662.67232000000013</v>
      </c>
    </row>
    <row r="56" spans="1:4" x14ac:dyDescent="0.3">
      <c r="A56" s="467" t="s">
        <v>222</v>
      </c>
      <c r="B56" s="467"/>
      <c r="C56" s="467"/>
    </row>
    <row r="57" spans="1:4" ht="16.2" thickBot="1" x14ac:dyDescent="0.35"/>
    <row r="58" spans="1:4" ht="16.2" thickBot="1" x14ac:dyDescent="0.35">
      <c r="A58" s="251" t="s">
        <v>223</v>
      </c>
      <c r="B58" s="283" t="s">
        <v>224</v>
      </c>
      <c r="C58" s="283" t="s">
        <v>193</v>
      </c>
    </row>
    <row r="59" spans="1:4" ht="16.2" thickBot="1" x14ac:dyDescent="0.35">
      <c r="A59" s="253" t="s">
        <v>194</v>
      </c>
      <c r="B59" s="254" t="s">
        <v>225</v>
      </c>
      <c r="C59" s="294">
        <f>(44*3.6)-(C29*0.06)</f>
        <v>50.35560000000001</v>
      </c>
    </row>
    <row r="60" spans="1:4" ht="16.2" thickBot="1" x14ac:dyDescent="0.35">
      <c r="A60" s="253" t="s">
        <v>196</v>
      </c>
      <c r="B60" s="254" t="s">
        <v>226</v>
      </c>
      <c r="C60" s="294">
        <f>(19.82*22)*90%</f>
        <v>392.43600000000004</v>
      </c>
    </row>
    <row r="61" spans="1:4" ht="16.2" thickBot="1" x14ac:dyDescent="0.35">
      <c r="A61" s="253" t="s">
        <v>198</v>
      </c>
      <c r="B61" s="254" t="s">
        <v>310</v>
      </c>
      <c r="C61" s="294">
        <v>0</v>
      </c>
    </row>
    <row r="62" spans="1:4" ht="16.2" thickBot="1" x14ac:dyDescent="0.35">
      <c r="A62" s="253" t="s">
        <v>200</v>
      </c>
      <c r="B62" s="254" t="s">
        <v>312</v>
      </c>
      <c r="C62" s="294">
        <v>6</v>
      </c>
    </row>
    <row r="63" spans="1:4" ht="16.2" thickBot="1" x14ac:dyDescent="0.35">
      <c r="A63" s="464" t="s">
        <v>16</v>
      </c>
      <c r="B63" s="465"/>
      <c r="C63" s="300">
        <f>SUM(C59:C62)</f>
        <v>448.79160000000002</v>
      </c>
    </row>
    <row r="66" spans="1:3" x14ac:dyDescent="0.3">
      <c r="A66" s="467" t="s">
        <v>227</v>
      </c>
      <c r="B66" s="467"/>
      <c r="C66" s="467"/>
    </row>
    <row r="67" spans="1:3" ht="16.2" thickBot="1" x14ac:dyDescent="0.35"/>
    <row r="68" spans="1:3" ht="16.2" thickBot="1" x14ac:dyDescent="0.35">
      <c r="A68" s="251">
        <v>2</v>
      </c>
      <c r="B68" s="283" t="s">
        <v>228</v>
      </c>
      <c r="C68" s="283" t="s">
        <v>193</v>
      </c>
    </row>
    <row r="69" spans="1:3" ht="16.2" thickBot="1" x14ac:dyDescent="0.35">
      <c r="A69" s="253" t="s">
        <v>208</v>
      </c>
      <c r="B69" s="254" t="s">
        <v>209</v>
      </c>
      <c r="C69" s="294">
        <f>C39</f>
        <v>350.06385599999999</v>
      </c>
    </row>
    <row r="70" spans="1:3" ht="16.2" thickBot="1" x14ac:dyDescent="0.35">
      <c r="A70" s="253" t="s">
        <v>212</v>
      </c>
      <c r="B70" s="254" t="s">
        <v>213</v>
      </c>
      <c r="C70" s="294">
        <f>D53</f>
        <v>662.67232000000013</v>
      </c>
    </row>
    <row r="71" spans="1:3" ht="16.2" thickBot="1" x14ac:dyDescent="0.35">
      <c r="A71" s="253" t="s">
        <v>223</v>
      </c>
      <c r="B71" s="254" t="s">
        <v>224</v>
      </c>
      <c r="C71" s="294">
        <f>C63</f>
        <v>448.79160000000002</v>
      </c>
    </row>
    <row r="72" spans="1:3" ht="16.2" thickBot="1" x14ac:dyDescent="0.35">
      <c r="A72" s="464" t="s">
        <v>16</v>
      </c>
      <c r="B72" s="465"/>
      <c r="C72" s="299">
        <f>SUM(C69:C71)</f>
        <v>1461.5277760000001</v>
      </c>
    </row>
    <row r="73" spans="1:3" x14ac:dyDescent="0.3">
      <c r="A73" s="33"/>
    </row>
    <row r="75" spans="1:3" x14ac:dyDescent="0.3">
      <c r="A75" s="466" t="s">
        <v>229</v>
      </c>
      <c r="B75" s="466"/>
      <c r="C75" s="466"/>
    </row>
    <row r="76" spans="1:3" ht="16.2" thickBot="1" x14ac:dyDescent="0.35"/>
    <row r="77" spans="1:3" ht="16.2" thickBot="1" x14ac:dyDescent="0.35">
      <c r="A77" s="251">
        <v>3</v>
      </c>
      <c r="B77" s="283" t="s">
        <v>230</v>
      </c>
      <c r="C77" s="283" t="s">
        <v>193</v>
      </c>
    </row>
    <row r="78" spans="1:3" ht="16.2" thickBot="1" x14ac:dyDescent="0.35">
      <c r="A78" s="253" t="s">
        <v>194</v>
      </c>
      <c r="B78" s="258" t="s">
        <v>231</v>
      </c>
      <c r="C78" s="309">
        <v>8.48</v>
      </c>
    </row>
    <row r="79" spans="1:3" ht="16.2" thickBot="1" x14ac:dyDescent="0.35">
      <c r="A79" s="253" t="s">
        <v>196</v>
      </c>
      <c r="B79" s="258" t="s">
        <v>232</v>
      </c>
      <c r="C79" s="294">
        <f>C78/8%</f>
        <v>106</v>
      </c>
    </row>
    <row r="80" spans="1:3" ht="16.2" thickBot="1" x14ac:dyDescent="0.35">
      <c r="A80" s="253" t="s">
        <v>198</v>
      </c>
      <c r="B80" s="258" t="s">
        <v>233</v>
      </c>
      <c r="C80" s="294">
        <f>3%*C22</f>
        <v>54.022199999999998</v>
      </c>
    </row>
    <row r="81" spans="1:3" ht="16.2" thickBot="1" x14ac:dyDescent="0.35">
      <c r="A81" s="253" t="s">
        <v>200</v>
      </c>
      <c r="B81" s="258" t="s">
        <v>234</v>
      </c>
      <c r="C81" s="309">
        <v>42.33</v>
      </c>
    </row>
    <row r="82" spans="1:3" ht="16.2" thickBot="1" x14ac:dyDescent="0.35">
      <c r="A82" s="253" t="s">
        <v>201</v>
      </c>
      <c r="B82" s="258" t="s">
        <v>235</v>
      </c>
      <c r="C82" s="310">
        <f>C81*C53</f>
        <v>15.577440000000001</v>
      </c>
    </row>
    <row r="83" spans="1:3" ht="16.2" thickBot="1" x14ac:dyDescent="0.35">
      <c r="A83" s="253" t="s">
        <v>203</v>
      </c>
      <c r="B83" s="258" t="s">
        <v>236</v>
      </c>
      <c r="C83" s="294">
        <f>1%*C29</f>
        <v>18.007400000000001</v>
      </c>
    </row>
    <row r="84" spans="1:3" ht="16.2" thickBot="1" x14ac:dyDescent="0.35">
      <c r="A84" s="464" t="s">
        <v>16</v>
      </c>
      <c r="B84" s="465"/>
      <c r="C84" s="300">
        <f>SUM(C78:C83)</f>
        <v>244.41703999999999</v>
      </c>
    </row>
    <row r="87" spans="1:3" x14ac:dyDescent="0.3">
      <c r="A87" s="466" t="s">
        <v>237</v>
      </c>
      <c r="B87" s="466"/>
      <c r="C87" s="466"/>
    </row>
    <row r="90" spans="1:3" x14ac:dyDescent="0.3">
      <c r="A90" s="467" t="s">
        <v>238</v>
      </c>
      <c r="B90" s="467"/>
      <c r="C90" s="467"/>
    </row>
    <row r="91" spans="1:3" ht="16.2" thickBot="1" x14ac:dyDescent="0.35">
      <c r="A91" s="250"/>
    </row>
    <row r="92" spans="1:3" ht="16.2" thickBot="1" x14ac:dyDescent="0.35">
      <c r="A92" s="251" t="s">
        <v>239</v>
      </c>
      <c r="B92" s="283" t="s">
        <v>240</v>
      </c>
      <c r="C92" s="283" t="s">
        <v>193</v>
      </c>
    </row>
    <row r="93" spans="1:3" ht="16.2" thickBot="1" x14ac:dyDescent="0.35">
      <c r="A93" s="253" t="s">
        <v>194</v>
      </c>
      <c r="B93" s="254" t="s">
        <v>20</v>
      </c>
      <c r="C93" s="294">
        <f>'CUSTO SUBST FÉRIAS'!C11</f>
        <v>270.16134999999997</v>
      </c>
    </row>
    <row r="94" spans="1:3" ht="16.2" thickBot="1" x14ac:dyDescent="0.35">
      <c r="A94" s="253" t="s">
        <v>196</v>
      </c>
      <c r="B94" s="254" t="s">
        <v>240</v>
      </c>
      <c r="C94" s="309">
        <v>19.18</v>
      </c>
    </row>
    <row r="95" spans="1:3" ht="16.2" thickBot="1" x14ac:dyDescent="0.35">
      <c r="A95" s="253" t="s">
        <v>198</v>
      </c>
      <c r="B95" s="254" t="s">
        <v>241</v>
      </c>
      <c r="C95" s="309">
        <v>0.5675</v>
      </c>
    </row>
    <row r="96" spans="1:3" ht="16.2" thickBot="1" x14ac:dyDescent="0.35">
      <c r="A96" s="253" t="s">
        <v>200</v>
      </c>
      <c r="B96" s="254" t="s">
        <v>242</v>
      </c>
      <c r="C96" s="309">
        <v>2.66</v>
      </c>
    </row>
    <row r="97" spans="1:3" ht="16.2" thickBot="1" x14ac:dyDescent="0.35">
      <c r="A97" s="253" t="s">
        <v>201</v>
      </c>
      <c r="B97" s="254" t="s">
        <v>243</v>
      </c>
      <c r="C97" s="309">
        <v>0.99249999999999994</v>
      </c>
    </row>
    <row r="98" spans="1:3" ht="16.2" thickBot="1" x14ac:dyDescent="0.35">
      <c r="A98" s="253" t="s">
        <v>203</v>
      </c>
      <c r="B98" s="254" t="s">
        <v>205</v>
      </c>
      <c r="C98" s="309"/>
    </row>
    <row r="99" spans="1:3" ht="16.2" thickBot="1" x14ac:dyDescent="0.35">
      <c r="A99" s="464" t="s">
        <v>221</v>
      </c>
      <c r="B99" s="465"/>
      <c r="C99" s="300">
        <f>SUM(C93:C98)</f>
        <v>293.56135</v>
      </c>
    </row>
    <row r="102" spans="1:3" x14ac:dyDescent="0.3">
      <c r="A102" s="467" t="s">
        <v>244</v>
      </c>
      <c r="B102" s="467"/>
      <c r="C102" s="467"/>
    </row>
    <row r="103" spans="1:3" ht="16.2" thickBot="1" x14ac:dyDescent="0.35">
      <c r="A103" s="250"/>
    </row>
    <row r="104" spans="1:3" ht="16.2" thickBot="1" x14ac:dyDescent="0.35">
      <c r="A104" s="251" t="s">
        <v>245</v>
      </c>
      <c r="B104" s="283" t="s">
        <v>246</v>
      </c>
      <c r="C104" s="283" t="s">
        <v>193</v>
      </c>
    </row>
    <row r="105" spans="1:3" ht="16.2" thickBot="1" x14ac:dyDescent="0.35">
      <c r="A105" s="253" t="s">
        <v>194</v>
      </c>
      <c r="B105" s="254" t="s">
        <v>279</v>
      </c>
      <c r="C105" s="255">
        <v>0</v>
      </c>
    </row>
    <row r="106" spans="1:3" ht="16.2" thickBot="1" x14ac:dyDescent="0.35">
      <c r="A106" s="464" t="s">
        <v>16</v>
      </c>
      <c r="B106" s="465"/>
      <c r="C106" s="311">
        <v>0</v>
      </c>
    </row>
    <row r="109" spans="1:3" x14ac:dyDescent="0.3">
      <c r="A109" s="467" t="s">
        <v>247</v>
      </c>
      <c r="B109" s="467"/>
      <c r="C109" s="467"/>
    </row>
    <row r="110" spans="1:3" ht="16.2" thickBot="1" x14ac:dyDescent="0.35">
      <c r="A110" s="250"/>
    </row>
    <row r="111" spans="1:3" ht="16.2" thickBot="1" x14ac:dyDescent="0.35">
      <c r="A111" s="251">
        <v>4</v>
      </c>
      <c r="B111" s="283" t="s">
        <v>248</v>
      </c>
      <c r="C111" s="283" t="s">
        <v>193</v>
      </c>
    </row>
    <row r="112" spans="1:3" ht="16.2" thickBot="1" x14ac:dyDescent="0.35">
      <c r="A112" s="253" t="s">
        <v>239</v>
      </c>
      <c r="B112" s="254" t="s">
        <v>240</v>
      </c>
      <c r="C112" s="310">
        <f>C99</f>
        <v>293.56135</v>
      </c>
    </row>
    <row r="113" spans="1:3" ht="16.2" thickBot="1" x14ac:dyDescent="0.35">
      <c r="A113" s="253" t="s">
        <v>245</v>
      </c>
      <c r="B113" s="254" t="s">
        <v>246</v>
      </c>
      <c r="C113" s="308">
        <f>C106</f>
        <v>0</v>
      </c>
    </row>
    <row r="114" spans="1:3" ht="16.2" thickBot="1" x14ac:dyDescent="0.35">
      <c r="A114" s="464" t="s">
        <v>16</v>
      </c>
      <c r="B114" s="465"/>
      <c r="C114" s="300">
        <f>SUM(C112:C113)</f>
        <v>293.56135</v>
      </c>
    </row>
    <row r="117" spans="1:3" x14ac:dyDescent="0.3">
      <c r="A117" s="466" t="s">
        <v>249</v>
      </c>
      <c r="B117" s="466"/>
      <c r="C117" s="466"/>
    </row>
    <row r="118" spans="1:3" ht="16.2" thickBot="1" x14ac:dyDescent="0.35"/>
    <row r="119" spans="1:3" ht="16.2" thickBot="1" x14ac:dyDescent="0.35">
      <c r="A119" s="251">
        <v>5</v>
      </c>
      <c r="B119" s="259" t="s">
        <v>134</v>
      </c>
      <c r="C119" s="283" t="s">
        <v>193</v>
      </c>
    </row>
    <row r="120" spans="1:3" ht="16.2" thickBot="1" x14ac:dyDescent="0.35">
      <c r="A120" s="253" t="s">
        <v>194</v>
      </c>
      <c r="B120" s="254" t="s">
        <v>250</v>
      </c>
      <c r="C120" s="301">
        <v>49.11</v>
      </c>
    </row>
    <row r="121" spans="1:3" ht="16.2" thickBot="1" x14ac:dyDescent="0.35">
      <c r="A121" s="253" t="s">
        <v>196</v>
      </c>
      <c r="B121" s="254" t="s">
        <v>251</v>
      </c>
      <c r="C121" s="301">
        <v>0</v>
      </c>
    </row>
    <row r="122" spans="1:3" ht="16.2" thickBot="1" x14ac:dyDescent="0.35">
      <c r="A122" s="253" t="s">
        <v>198</v>
      </c>
      <c r="B122" s="254" t="s">
        <v>252</v>
      </c>
      <c r="C122" s="301">
        <v>0</v>
      </c>
    </row>
    <row r="123" spans="1:3" ht="16.2" thickBot="1" x14ac:dyDescent="0.35">
      <c r="A123" s="253" t="s">
        <v>200</v>
      </c>
      <c r="B123" s="254" t="s">
        <v>205</v>
      </c>
      <c r="C123" s="301">
        <v>0</v>
      </c>
    </row>
    <row r="124" spans="1:3" ht="16.2" thickBot="1" x14ac:dyDescent="0.35">
      <c r="A124" s="464" t="s">
        <v>221</v>
      </c>
      <c r="B124" s="465"/>
      <c r="C124" s="311">
        <f>SUM(C120:C123)</f>
        <v>49.11</v>
      </c>
    </row>
    <row r="127" spans="1:3" x14ac:dyDescent="0.3">
      <c r="A127" s="466" t="s">
        <v>253</v>
      </c>
      <c r="B127" s="466"/>
      <c r="C127" s="466"/>
    </row>
    <row r="128" spans="1:3" ht="16.2" thickBot="1" x14ac:dyDescent="0.35"/>
    <row r="129" spans="1:4" ht="16.2" thickBot="1" x14ac:dyDescent="0.35">
      <c r="A129" s="251">
        <v>6</v>
      </c>
      <c r="B129" s="259" t="s">
        <v>135</v>
      </c>
      <c r="C129" s="283" t="s">
        <v>214</v>
      </c>
      <c r="D129" s="283" t="s">
        <v>193</v>
      </c>
    </row>
    <row r="130" spans="1:4" ht="16.2" thickBot="1" x14ac:dyDescent="0.35">
      <c r="A130" s="253" t="s">
        <v>194</v>
      </c>
      <c r="B130" s="254" t="s">
        <v>167</v>
      </c>
      <c r="C130" s="301"/>
      <c r="D130" s="309">
        <v>236.69499999999999</v>
      </c>
    </row>
    <row r="131" spans="1:4" ht="16.2" thickBot="1" x14ac:dyDescent="0.35">
      <c r="A131" s="253" t="s">
        <v>196</v>
      </c>
      <c r="B131" s="254" t="s">
        <v>169</v>
      </c>
      <c r="C131" s="301"/>
      <c r="D131" s="309">
        <v>221.095</v>
      </c>
    </row>
    <row r="132" spans="1:4" ht="16.2" thickBot="1" x14ac:dyDescent="0.35">
      <c r="A132" s="253" t="s">
        <v>198</v>
      </c>
      <c r="B132" s="254" t="s">
        <v>168</v>
      </c>
      <c r="C132" s="301"/>
      <c r="D132" s="309">
        <f>C132*C147</f>
        <v>0</v>
      </c>
    </row>
    <row r="133" spans="1:4" ht="16.2" thickBot="1" x14ac:dyDescent="0.35">
      <c r="A133" s="253"/>
      <c r="B133" s="254" t="s">
        <v>323</v>
      </c>
      <c r="C133" s="256">
        <v>3.6499999999999998E-2</v>
      </c>
      <c r="D133" s="310">
        <f>C133*C147</f>
        <v>140.50150005899999</v>
      </c>
    </row>
    <row r="134" spans="1:4" ht="16.2" thickBot="1" x14ac:dyDescent="0.35">
      <c r="A134" s="253"/>
      <c r="B134" s="254" t="s">
        <v>255</v>
      </c>
      <c r="C134" s="255">
        <v>0</v>
      </c>
      <c r="D134" s="310">
        <f>C134*C147</f>
        <v>0</v>
      </c>
    </row>
    <row r="135" spans="1:4" ht="16.2" thickBot="1" x14ac:dyDescent="0.35">
      <c r="A135" s="253"/>
      <c r="B135" s="254" t="s">
        <v>324</v>
      </c>
      <c r="C135" s="306">
        <v>0.05</v>
      </c>
      <c r="D135" s="310">
        <f>C135*C147</f>
        <v>192.4678083</v>
      </c>
    </row>
    <row r="136" spans="1:4" ht="16.2" thickBot="1" x14ac:dyDescent="0.35">
      <c r="A136" s="464" t="s">
        <v>221</v>
      </c>
      <c r="B136" s="465"/>
      <c r="C136" s="302">
        <f>SUM(C130:C135)</f>
        <v>8.6499999999999994E-2</v>
      </c>
      <c r="D136" s="300">
        <f>SUM(D130:D135)</f>
        <v>790.75930835899999</v>
      </c>
    </row>
    <row r="139" spans="1:4" x14ac:dyDescent="0.3">
      <c r="A139" s="466" t="s">
        <v>257</v>
      </c>
      <c r="B139" s="466"/>
      <c r="C139" s="466"/>
    </row>
    <row r="140" spans="1:4" ht="16.2" thickBot="1" x14ac:dyDescent="0.35"/>
    <row r="141" spans="1:4" ht="16.2" thickBot="1" x14ac:dyDescent="0.35">
      <c r="A141" s="251"/>
      <c r="B141" s="283" t="s">
        <v>258</v>
      </c>
      <c r="C141" s="283" t="s">
        <v>193</v>
      </c>
    </row>
    <row r="142" spans="1:4" ht="16.2" thickBot="1" x14ac:dyDescent="0.35">
      <c r="A142" s="261" t="s">
        <v>194</v>
      </c>
      <c r="B142" s="254" t="s">
        <v>191</v>
      </c>
      <c r="C142" s="295">
        <f>C29</f>
        <v>1800.74</v>
      </c>
    </row>
    <row r="143" spans="1:4" ht="16.2" thickBot="1" x14ac:dyDescent="0.35">
      <c r="A143" s="261" t="s">
        <v>196</v>
      </c>
      <c r="B143" s="254" t="s">
        <v>206</v>
      </c>
      <c r="C143" s="295">
        <f>C72</f>
        <v>1461.5277760000001</v>
      </c>
    </row>
    <row r="144" spans="1:4" ht="16.2" thickBot="1" x14ac:dyDescent="0.35">
      <c r="A144" s="261" t="s">
        <v>198</v>
      </c>
      <c r="B144" s="254" t="s">
        <v>229</v>
      </c>
      <c r="C144" s="294">
        <f>C84</f>
        <v>244.41703999999999</v>
      </c>
    </row>
    <row r="145" spans="1:3" ht="16.2" thickBot="1" x14ac:dyDescent="0.35">
      <c r="A145" s="261" t="s">
        <v>200</v>
      </c>
      <c r="B145" s="254" t="s">
        <v>237</v>
      </c>
      <c r="C145" s="255">
        <f>C114</f>
        <v>293.56135</v>
      </c>
    </row>
    <row r="146" spans="1:3" ht="16.2" thickBot="1" x14ac:dyDescent="0.35">
      <c r="A146" s="261" t="s">
        <v>201</v>
      </c>
      <c r="B146" s="254" t="s">
        <v>249</v>
      </c>
      <c r="C146" s="255">
        <f>C124</f>
        <v>49.11</v>
      </c>
    </row>
    <row r="147" spans="1:3" ht="16.2" thickBot="1" x14ac:dyDescent="0.35">
      <c r="A147" s="464" t="s">
        <v>259</v>
      </c>
      <c r="B147" s="465"/>
      <c r="C147" s="299">
        <f>SUM(C142:C146)</f>
        <v>3849.356166</v>
      </c>
    </row>
    <row r="148" spans="1:3" ht="16.2" thickBot="1" x14ac:dyDescent="0.35">
      <c r="A148" s="261" t="s">
        <v>203</v>
      </c>
      <c r="B148" s="254" t="s">
        <v>260</v>
      </c>
      <c r="C148" s="294">
        <f>D136</f>
        <v>790.75930835899999</v>
      </c>
    </row>
    <row r="149" spans="1:3" ht="16.2" thickBot="1" x14ac:dyDescent="0.35">
      <c r="A149" s="464" t="s">
        <v>261</v>
      </c>
      <c r="B149" s="465"/>
      <c r="C149" s="299">
        <f>SUM(C147:C148)</f>
        <v>4640.1154743589996</v>
      </c>
    </row>
  </sheetData>
  <mergeCells count="42">
    <mergeCell ref="A149:B149"/>
    <mergeCell ref="A99:B99"/>
    <mergeCell ref="A102:C102"/>
    <mergeCell ref="A106:B106"/>
    <mergeCell ref="A109:C109"/>
    <mergeCell ref="A114:B114"/>
    <mergeCell ref="A117:C117"/>
    <mergeCell ref="A124:B124"/>
    <mergeCell ref="A127:C127"/>
    <mergeCell ref="A136:B136"/>
    <mergeCell ref="A139:C139"/>
    <mergeCell ref="A147:B147"/>
    <mergeCell ref="A90:C90"/>
    <mergeCell ref="A34:C34"/>
    <mergeCell ref="A39:B39"/>
    <mergeCell ref="A42:D42"/>
    <mergeCell ref="A53:B53"/>
    <mergeCell ref="A56:C56"/>
    <mergeCell ref="A63:B63"/>
    <mergeCell ref="A66:C66"/>
    <mergeCell ref="A72:B72"/>
    <mergeCell ref="A75:C75"/>
    <mergeCell ref="A84:B84"/>
    <mergeCell ref="A87:C87"/>
    <mergeCell ref="A1:D1"/>
    <mergeCell ref="A2:D2"/>
    <mergeCell ref="A3:D3"/>
    <mergeCell ref="A19:C19"/>
    <mergeCell ref="A29:B29"/>
    <mergeCell ref="A16:B16"/>
    <mergeCell ref="A17:B17"/>
    <mergeCell ref="A9:D9"/>
    <mergeCell ref="C10:D10"/>
    <mergeCell ref="C11:D11"/>
    <mergeCell ref="C12:D12"/>
    <mergeCell ref="C13:D13"/>
    <mergeCell ref="A15:D15"/>
    <mergeCell ref="A32:C32"/>
    <mergeCell ref="A5:D5"/>
    <mergeCell ref="A6:D6"/>
    <mergeCell ref="A7:D7"/>
    <mergeCell ref="A8:D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9"/>
  <sheetViews>
    <sheetView showGridLines="0" zoomScale="115" zoomScaleNormal="115" workbookViewId="0">
      <selection activeCell="C149" sqref="C149"/>
    </sheetView>
  </sheetViews>
  <sheetFormatPr defaultColWidth="9.21875" defaultRowHeight="15.6" x14ac:dyDescent="0.3"/>
  <cols>
    <col min="1" max="1" width="9.21875" style="260"/>
    <col min="2" max="2" width="72.21875" style="260" customWidth="1"/>
    <col min="3" max="3" width="18" style="260" customWidth="1"/>
    <col min="4" max="4" width="14.21875" style="260" customWidth="1"/>
    <col min="5" max="5" width="12.77734375" style="260" customWidth="1"/>
    <col min="6" max="6" width="12" style="260" customWidth="1"/>
    <col min="7" max="7" width="15.21875" style="260" customWidth="1"/>
    <col min="8" max="16384" width="9.21875" style="260"/>
  </cols>
  <sheetData>
    <row r="1" spans="1:4" ht="22.8" x14ac:dyDescent="0.4">
      <c r="A1" s="428" t="s">
        <v>262</v>
      </c>
      <c r="B1" s="428"/>
      <c r="C1" s="428"/>
      <c r="D1" s="428"/>
    </row>
    <row r="2" spans="1:4" ht="22.8" x14ac:dyDescent="0.4">
      <c r="A2" s="428" t="s">
        <v>264</v>
      </c>
      <c r="B2" s="428"/>
      <c r="C2" s="428"/>
      <c r="D2" s="428"/>
    </row>
    <row r="3" spans="1:4" x14ac:dyDescent="0.3">
      <c r="A3" s="469" t="s">
        <v>278</v>
      </c>
      <c r="B3" s="469"/>
      <c r="C3" s="469"/>
      <c r="D3" s="469"/>
    </row>
    <row r="5" spans="1:4" x14ac:dyDescent="0.3">
      <c r="A5" s="455" t="s">
        <v>293</v>
      </c>
      <c r="B5" s="456"/>
      <c r="C5" s="456"/>
      <c r="D5" s="457"/>
    </row>
    <row r="6" spans="1:4" ht="15.45" x14ac:dyDescent="0.35">
      <c r="A6" s="462" t="s">
        <v>305</v>
      </c>
      <c r="B6" s="462"/>
      <c r="C6" s="462"/>
      <c r="D6" s="462"/>
    </row>
    <row r="7" spans="1:4" x14ac:dyDescent="0.3">
      <c r="A7" s="462" t="s">
        <v>306</v>
      </c>
      <c r="B7" s="462"/>
      <c r="C7" s="462"/>
      <c r="D7" s="462"/>
    </row>
    <row r="8" spans="1:4" ht="15.45" x14ac:dyDescent="0.35">
      <c r="A8" s="458"/>
      <c r="B8" s="459"/>
      <c r="C8" s="459"/>
      <c r="D8" s="460"/>
    </row>
    <row r="9" spans="1:4" x14ac:dyDescent="0.3">
      <c r="A9" s="461" t="s">
        <v>294</v>
      </c>
      <c r="B9" s="461"/>
      <c r="C9" s="461"/>
      <c r="D9" s="461"/>
    </row>
    <row r="10" spans="1:4" x14ac:dyDescent="0.3">
      <c r="A10" s="296" t="s">
        <v>194</v>
      </c>
      <c r="B10" s="297" t="s">
        <v>295</v>
      </c>
      <c r="C10" s="463"/>
      <c r="D10" s="463"/>
    </row>
    <row r="11" spans="1:4" x14ac:dyDescent="0.3">
      <c r="A11" s="296" t="s">
        <v>196</v>
      </c>
      <c r="B11" s="297" t="s">
        <v>296</v>
      </c>
      <c r="C11" s="463" t="s">
        <v>297</v>
      </c>
      <c r="D11" s="463"/>
    </row>
    <row r="12" spans="1:4" x14ac:dyDescent="0.3">
      <c r="A12" s="296" t="s">
        <v>198</v>
      </c>
      <c r="B12" s="297" t="s">
        <v>298</v>
      </c>
      <c r="C12" s="463" t="s">
        <v>307</v>
      </c>
      <c r="D12" s="463"/>
    </row>
    <row r="13" spans="1:4" x14ac:dyDescent="0.3">
      <c r="A13" s="296" t="s">
        <v>200</v>
      </c>
      <c r="B13" s="297" t="s">
        <v>299</v>
      </c>
      <c r="C13" s="463">
        <v>12</v>
      </c>
      <c r="D13" s="463"/>
    </row>
    <row r="14" spans="1:4" ht="15.45" x14ac:dyDescent="0.35">
      <c r="A14" s="287"/>
      <c r="B14" s="287"/>
      <c r="C14" s="287"/>
      <c r="D14" s="287"/>
    </row>
    <row r="15" spans="1:4" x14ac:dyDescent="0.3">
      <c r="A15" s="461" t="s">
        <v>300</v>
      </c>
      <c r="B15" s="461"/>
      <c r="C15" s="461"/>
      <c r="D15" s="461"/>
    </row>
    <row r="16" spans="1:4" ht="27.6" x14ac:dyDescent="0.3">
      <c r="A16" s="471" t="s">
        <v>301</v>
      </c>
      <c r="B16" s="471"/>
      <c r="C16" s="293" t="s">
        <v>302</v>
      </c>
      <c r="D16" s="285" t="s">
        <v>303</v>
      </c>
    </row>
    <row r="17" spans="1:5" ht="15.45" x14ac:dyDescent="0.35">
      <c r="A17" s="462" t="s">
        <v>313</v>
      </c>
      <c r="B17" s="462"/>
      <c r="C17" s="296" t="s">
        <v>304</v>
      </c>
      <c r="D17" s="296">
        <v>1</v>
      </c>
    </row>
    <row r="19" spans="1:5" x14ac:dyDescent="0.3">
      <c r="A19" s="468" t="s">
        <v>191</v>
      </c>
      <c r="B19" s="468"/>
      <c r="C19" s="468"/>
    </row>
    <row r="20" spans="1:5" ht="16.2" thickBot="1" x14ac:dyDescent="0.35"/>
    <row r="21" spans="1:5" ht="16.2" thickBot="1" x14ac:dyDescent="0.35">
      <c r="A21" s="251">
        <v>1</v>
      </c>
      <c r="B21" s="283" t="s">
        <v>192</v>
      </c>
      <c r="C21" s="283" t="s">
        <v>193</v>
      </c>
      <c r="E21" s="394" t="s">
        <v>471</v>
      </c>
    </row>
    <row r="22" spans="1:5" ht="16.2" thickBot="1" x14ac:dyDescent="0.35">
      <c r="A22" s="253" t="s">
        <v>194</v>
      </c>
      <c r="B22" s="254" t="s">
        <v>485</v>
      </c>
      <c r="C22" s="295">
        <v>96.93</v>
      </c>
      <c r="E22" s="393">
        <v>1453.99</v>
      </c>
    </row>
    <row r="23" spans="1:5" ht="16.2" thickBot="1" x14ac:dyDescent="0.35">
      <c r="A23" s="253" t="s">
        <v>196</v>
      </c>
      <c r="B23" s="254" t="s">
        <v>197</v>
      </c>
      <c r="C23" s="255"/>
      <c r="E23" s="395" t="s">
        <v>472</v>
      </c>
    </row>
    <row r="24" spans="1:5" ht="16.2" thickBot="1" x14ac:dyDescent="0.35">
      <c r="A24" s="253" t="s">
        <v>198</v>
      </c>
      <c r="B24" s="254" t="s">
        <v>199</v>
      </c>
      <c r="C24" s="255"/>
      <c r="E24" s="393">
        <f>E22/30</f>
        <v>48.466333333333331</v>
      </c>
    </row>
    <row r="25" spans="1:5" ht="16.2" thickBot="1" x14ac:dyDescent="0.35">
      <c r="A25" s="253" t="s">
        <v>200</v>
      </c>
      <c r="B25" s="254" t="s">
        <v>11</v>
      </c>
      <c r="C25" s="255"/>
      <c r="E25" s="395" t="s">
        <v>473</v>
      </c>
    </row>
    <row r="26" spans="1:5" ht="16.2" thickBot="1" x14ac:dyDescent="0.35">
      <c r="A26" s="253" t="s">
        <v>201</v>
      </c>
      <c r="B26" s="254" t="s">
        <v>202</v>
      </c>
      <c r="C26" s="255"/>
      <c r="E26" s="393">
        <f>E24*2</f>
        <v>96.932666666666663</v>
      </c>
    </row>
    <row r="27" spans="1:5" ht="16.2" thickBot="1" x14ac:dyDescent="0.35">
      <c r="A27" s="253"/>
      <c r="B27" s="254"/>
      <c r="C27" s="255"/>
    </row>
    <row r="28" spans="1:5" ht="16.2" thickBot="1" x14ac:dyDescent="0.35">
      <c r="A28" s="253" t="s">
        <v>204</v>
      </c>
      <c r="B28" s="254" t="s">
        <v>205</v>
      </c>
      <c r="C28" s="255"/>
    </row>
    <row r="29" spans="1:5" ht="16.2" thickBot="1" x14ac:dyDescent="0.35">
      <c r="A29" s="464" t="s">
        <v>16</v>
      </c>
      <c r="B29" s="465"/>
      <c r="C29" s="299">
        <f>SUM(C22:C28)</f>
        <v>96.93</v>
      </c>
    </row>
    <row r="32" spans="1:5" x14ac:dyDescent="0.3">
      <c r="A32" s="466" t="s">
        <v>206</v>
      </c>
      <c r="B32" s="466"/>
      <c r="C32" s="466"/>
    </row>
    <row r="33" spans="1:4" x14ac:dyDescent="0.3">
      <c r="A33" s="250"/>
    </row>
    <row r="34" spans="1:4" x14ac:dyDescent="0.3">
      <c r="A34" s="467" t="s">
        <v>207</v>
      </c>
      <c r="B34" s="467"/>
      <c r="C34" s="467"/>
    </row>
    <row r="35" spans="1:4" ht="16.2" thickBot="1" x14ac:dyDescent="0.35"/>
    <row r="36" spans="1:4" ht="16.2" thickBot="1" x14ac:dyDescent="0.35">
      <c r="A36" s="251" t="s">
        <v>208</v>
      </c>
      <c r="B36" s="283" t="s">
        <v>209</v>
      </c>
      <c r="C36" s="283" t="s">
        <v>193</v>
      </c>
    </row>
    <row r="37" spans="1:4" ht="16.2" thickBot="1" x14ac:dyDescent="0.35">
      <c r="A37" s="253" t="s">
        <v>194</v>
      </c>
      <c r="B37" s="254" t="s">
        <v>210</v>
      </c>
      <c r="C37" s="294">
        <f>C29*8.33%</f>
        <v>8.074269000000001</v>
      </c>
    </row>
    <row r="38" spans="1:4" ht="16.2" thickBot="1" x14ac:dyDescent="0.35">
      <c r="A38" s="253" t="s">
        <v>196</v>
      </c>
      <c r="B38" s="254" t="s">
        <v>314</v>
      </c>
      <c r="C38" s="294">
        <f>C29*11.11%</f>
        <v>10.768922999999999</v>
      </c>
    </row>
    <row r="39" spans="1:4" ht="16.2" thickBot="1" x14ac:dyDescent="0.35">
      <c r="A39" s="464" t="s">
        <v>16</v>
      </c>
      <c r="B39" s="465"/>
      <c r="C39" s="300">
        <f>SUM(C37:C38)</f>
        <v>18.843192000000002</v>
      </c>
    </row>
    <row r="42" spans="1:4" ht="32.25" customHeight="1" x14ac:dyDescent="0.3">
      <c r="A42" s="470" t="s">
        <v>211</v>
      </c>
      <c r="B42" s="470"/>
      <c r="C42" s="470"/>
      <c r="D42" s="470"/>
    </row>
    <row r="43" spans="1:4" ht="16.2" thickBot="1" x14ac:dyDescent="0.35"/>
    <row r="44" spans="1:4" ht="16.2" thickBot="1" x14ac:dyDescent="0.35">
      <c r="A44" s="251" t="s">
        <v>212</v>
      </c>
      <c r="B44" s="283" t="s">
        <v>213</v>
      </c>
      <c r="C44" s="283" t="s">
        <v>214</v>
      </c>
      <c r="D44" s="283" t="s">
        <v>193</v>
      </c>
    </row>
    <row r="45" spans="1:4" ht="16.2" thickBot="1" x14ac:dyDescent="0.35">
      <c r="A45" s="253" t="s">
        <v>194</v>
      </c>
      <c r="B45" s="254" t="s">
        <v>215</v>
      </c>
      <c r="C45" s="256">
        <v>0.2</v>
      </c>
      <c r="D45" s="294">
        <f>$C$29*C45</f>
        <v>19.386000000000003</v>
      </c>
    </row>
    <row r="46" spans="1:4" ht="16.2" thickBot="1" x14ac:dyDescent="0.35">
      <c r="A46" s="253" t="s">
        <v>196</v>
      </c>
      <c r="B46" s="254" t="s">
        <v>216</v>
      </c>
      <c r="C46" s="256">
        <v>2.5000000000000001E-2</v>
      </c>
      <c r="D46" s="294">
        <f t="shared" ref="D46:D52" si="0">$C$29*C46</f>
        <v>2.4232500000000003</v>
      </c>
    </row>
    <row r="47" spans="1:4" ht="16.2" thickBot="1" x14ac:dyDescent="0.35">
      <c r="A47" s="253" t="s">
        <v>198</v>
      </c>
      <c r="B47" s="254" t="s">
        <v>217</v>
      </c>
      <c r="C47" s="256">
        <v>0.03</v>
      </c>
      <c r="D47" s="294">
        <f t="shared" si="0"/>
        <v>2.9079000000000002</v>
      </c>
    </row>
    <row r="48" spans="1:4" ht="16.2" thickBot="1" x14ac:dyDescent="0.35">
      <c r="A48" s="253" t="s">
        <v>200</v>
      </c>
      <c r="B48" s="254" t="s">
        <v>218</v>
      </c>
      <c r="C48" s="256">
        <v>1.4999999999999999E-2</v>
      </c>
      <c r="D48" s="294">
        <f t="shared" si="0"/>
        <v>1.4539500000000001</v>
      </c>
    </row>
    <row r="49" spans="1:4" ht="16.2" thickBot="1" x14ac:dyDescent="0.35">
      <c r="A49" s="253" t="s">
        <v>201</v>
      </c>
      <c r="B49" s="254" t="s">
        <v>219</v>
      </c>
      <c r="C49" s="256">
        <v>0.01</v>
      </c>
      <c r="D49" s="294">
        <f t="shared" si="0"/>
        <v>0.96930000000000005</v>
      </c>
    </row>
    <row r="50" spans="1:4" ht="16.2" thickBot="1" x14ac:dyDescent="0.35">
      <c r="A50" s="253" t="s">
        <v>203</v>
      </c>
      <c r="B50" s="254" t="s">
        <v>29</v>
      </c>
      <c r="C50" s="256">
        <v>6.0000000000000001E-3</v>
      </c>
      <c r="D50" s="294">
        <f t="shared" si="0"/>
        <v>0.5815800000000001</v>
      </c>
    </row>
    <row r="51" spans="1:4" ht="16.2" thickBot="1" x14ac:dyDescent="0.35">
      <c r="A51" s="253" t="s">
        <v>204</v>
      </c>
      <c r="B51" s="254" t="s">
        <v>30</v>
      </c>
      <c r="C51" s="256">
        <v>2E-3</v>
      </c>
      <c r="D51" s="294">
        <f t="shared" si="0"/>
        <v>0.19386</v>
      </c>
    </row>
    <row r="52" spans="1:4" ht="16.2" thickBot="1" x14ac:dyDescent="0.35">
      <c r="A52" s="253" t="s">
        <v>220</v>
      </c>
      <c r="B52" s="254" t="s">
        <v>31</v>
      </c>
      <c r="C52" s="256">
        <v>0.08</v>
      </c>
      <c r="D52" s="294">
        <f t="shared" si="0"/>
        <v>7.7544000000000004</v>
      </c>
    </row>
    <row r="53" spans="1:4" ht="16.2" thickBot="1" x14ac:dyDescent="0.35">
      <c r="A53" s="464" t="s">
        <v>221</v>
      </c>
      <c r="B53" s="465"/>
      <c r="C53" s="302">
        <f>SUM(C45:C52)</f>
        <v>0.36800000000000005</v>
      </c>
      <c r="D53" s="300">
        <f>SUM(D45:D52)</f>
        <v>35.670240000000007</v>
      </c>
    </row>
    <row r="56" spans="1:4" x14ac:dyDescent="0.3">
      <c r="A56" s="467" t="s">
        <v>222</v>
      </c>
      <c r="B56" s="467"/>
      <c r="C56" s="467"/>
    </row>
    <row r="57" spans="1:4" ht="16.2" thickBot="1" x14ac:dyDescent="0.35"/>
    <row r="58" spans="1:4" ht="16.2" thickBot="1" x14ac:dyDescent="0.35">
      <c r="A58" s="251" t="s">
        <v>223</v>
      </c>
      <c r="B58" s="283" t="s">
        <v>224</v>
      </c>
      <c r="C58" s="283" t="s">
        <v>193</v>
      </c>
    </row>
    <row r="59" spans="1:4" ht="16.2" thickBot="1" x14ac:dyDescent="0.35">
      <c r="A59" s="253" t="s">
        <v>194</v>
      </c>
      <c r="B59" s="254" t="s">
        <v>474</v>
      </c>
      <c r="C59" s="294">
        <f>(4*3.6)-(C29*0.06)</f>
        <v>8.5841999999999992</v>
      </c>
    </row>
    <row r="60" spans="1:4" ht="16.2" thickBot="1" x14ac:dyDescent="0.35">
      <c r="A60" s="253" t="s">
        <v>196</v>
      </c>
      <c r="B60" s="254" t="s">
        <v>475</v>
      </c>
      <c r="C60" s="294">
        <f>(19.82*2)*90%</f>
        <v>35.676000000000002</v>
      </c>
    </row>
    <row r="61" spans="1:4" ht="16.2" thickBot="1" x14ac:dyDescent="0.35">
      <c r="A61" s="253" t="s">
        <v>198</v>
      </c>
      <c r="B61" s="254" t="s">
        <v>310</v>
      </c>
      <c r="C61" s="294">
        <v>0</v>
      </c>
    </row>
    <row r="62" spans="1:4" ht="16.2" thickBot="1" x14ac:dyDescent="0.35">
      <c r="A62" s="253" t="s">
        <v>200</v>
      </c>
      <c r="B62" s="254" t="s">
        <v>489</v>
      </c>
      <c r="C62" s="294">
        <v>6</v>
      </c>
    </row>
    <row r="63" spans="1:4" ht="16.2" thickBot="1" x14ac:dyDescent="0.35">
      <c r="A63" s="464" t="s">
        <v>16</v>
      </c>
      <c r="B63" s="465"/>
      <c r="C63" s="300">
        <f>SUM(C59:C62)</f>
        <v>50.260199999999998</v>
      </c>
    </row>
    <row r="66" spans="1:3" x14ac:dyDescent="0.3">
      <c r="A66" s="467" t="s">
        <v>227</v>
      </c>
      <c r="B66" s="467"/>
      <c r="C66" s="467"/>
    </row>
    <row r="67" spans="1:3" ht="16.2" thickBot="1" x14ac:dyDescent="0.35"/>
    <row r="68" spans="1:3" ht="16.2" thickBot="1" x14ac:dyDescent="0.35">
      <c r="A68" s="251">
        <v>2</v>
      </c>
      <c r="B68" s="283" t="s">
        <v>228</v>
      </c>
      <c r="C68" s="283" t="s">
        <v>193</v>
      </c>
    </row>
    <row r="69" spans="1:3" ht="16.2" thickBot="1" x14ac:dyDescent="0.35">
      <c r="A69" s="253" t="s">
        <v>208</v>
      </c>
      <c r="B69" s="254" t="s">
        <v>209</v>
      </c>
      <c r="C69" s="294">
        <f>C39</f>
        <v>18.843192000000002</v>
      </c>
    </row>
    <row r="70" spans="1:3" ht="16.2" thickBot="1" x14ac:dyDescent="0.35">
      <c r="A70" s="253" t="s">
        <v>212</v>
      </c>
      <c r="B70" s="254" t="s">
        <v>213</v>
      </c>
      <c r="C70" s="294">
        <f>D53</f>
        <v>35.670240000000007</v>
      </c>
    </row>
    <row r="71" spans="1:3" ht="16.2" thickBot="1" x14ac:dyDescent="0.35">
      <c r="A71" s="253" t="s">
        <v>223</v>
      </c>
      <c r="B71" s="254" t="s">
        <v>224</v>
      </c>
      <c r="C71" s="294">
        <f>C63</f>
        <v>50.260199999999998</v>
      </c>
    </row>
    <row r="72" spans="1:3" ht="16.2" thickBot="1" x14ac:dyDescent="0.35">
      <c r="A72" s="464" t="s">
        <v>16</v>
      </c>
      <c r="B72" s="465"/>
      <c r="C72" s="299">
        <f>SUM(C69:C71)</f>
        <v>104.77363200000001</v>
      </c>
    </row>
    <row r="73" spans="1:3" x14ac:dyDescent="0.3">
      <c r="A73" s="33"/>
    </row>
    <row r="75" spans="1:3" x14ac:dyDescent="0.3">
      <c r="A75" s="466" t="s">
        <v>229</v>
      </c>
      <c r="B75" s="466"/>
      <c r="C75" s="466"/>
    </row>
    <row r="76" spans="1:3" ht="16.2" thickBot="1" x14ac:dyDescent="0.35"/>
    <row r="77" spans="1:3" ht="16.2" thickBot="1" x14ac:dyDescent="0.35">
      <c r="A77" s="251">
        <v>3</v>
      </c>
      <c r="B77" s="283" t="s">
        <v>230</v>
      </c>
      <c r="C77" s="283" t="s">
        <v>193</v>
      </c>
    </row>
    <row r="78" spans="1:3" ht="16.2" thickBot="1" x14ac:dyDescent="0.35">
      <c r="A78" s="253" t="s">
        <v>194</v>
      </c>
      <c r="B78" s="258" t="s">
        <v>476</v>
      </c>
      <c r="C78" s="309">
        <v>0.27</v>
      </c>
    </row>
    <row r="79" spans="1:3" ht="16.2" thickBot="1" x14ac:dyDescent="0.35">
      <c r="A79" s="253" t="s">
        <v>196</v>
      </c>
      <c r="B79" s="258" t="s">
        <v>232</v>
      </c>
      <c r="C79" s="294">
        <f>C78*8%</f>
        <v>2.1600000000000001E-2</v>
      </c>
    </row>
    <row r="80" spans="1:3" ht="16.2" thickBot="1" x14ac:dyDescent="0.35">
      <c r="A80" s="253" t="s">
        <v>198</v>
      </c>
      <c r="B80" s="258" t="s">
        <v>233</v>
      </c>
      <c r="C80" s="294">
        <f>3%*C29</f>
        <v>2.9079000000000002</v>
      </c>
    </row>
    <row r="81" spans="1:3" ht="16.2" thickBot="1" x14ac:dyDescent="0.35">
      <c r="A81" s="253" t="s">
        <v>200</v>
      </c>
      <c r="B81" s="258" t="s">
        <v>477</v>
      </c>
      <c r="C81" s="309">
        <v>1.59</v>
      </c>
    </row>
    <row r="82" spans="1:3" ht="16.2" thickBot="1" x14ac:dyDescent="0.35">
      <c r="A82" s="253" t="s">
        <v>201</v>
      </c>
      <c r="B82" s="258" t="s">
        <v>235</v>
      </c>
      <c r="C82" s="294">
        <f>C81*C53</f>
        <v>0.58512000000000008</v>
      </c>
    </row>
    <row r="83" spans="1:3" ht="16.2" thickBot="1" x14ac:dyDescent="0.35">
      <c r="A83" s="253" t="s">
        <v>203</v>
      </c>
      <c r="B83" s="258" t="s">
        <v>236</v>
      </c>
      <c r="C83" s="294">
        <f>1%*C22</f>
        <v>0.96930000000000005</v>
      </c>
    </row>
    <row r="84" spans="1:3" ht="16.2" thickBot="1" x14ac:dyDescent="0.35">
      <c r="A84" s="464" t="s">
        <v>16</v>
      </c>
      <c r="B84" s="465"/>
      <c r="C84" s="300">
        <f>SUM(C78:C83)</f>
        <v>6.3439200000000007</v>
      </c>
    </row>
    <row r="87" spans="1:3" x14ac:dyDescent="0.3">
      <c r="A87" s="466" t="s">
        <v>237</v>
      </c>
      <c r="B87" s="466"/>
      <c r="C87" s="466"/>
    </row>
    <row r="90" spans="1:3" x14ac:dyDescent="0.3">
      <c r="A90" s="467" t="s">
        <v>238</v>
      </c>
      <c r="B90" s="467"/>
      <c r="C90" s="467"/>
    </row>
    <row r="91" spans="1:3" ht="16.2" thickBot="1" x14ac:dyDescent="0.35">
      <c r="A91" s="250"/>
    </row>
    <row r="92" spans="1:3" ht="16.2" thickBot="1" x14ac:dyDescent="0.35">
      <c r="A92" s="251" t="s">
        <v>239</v>
      </c>
      <c r="B92" s="283" t="s">
        <v>240</v>
      </c>
      <c r="C92" s="283" t="s">
        <v>193</v>
      </c>
    </row>
    <row r="93" spans="1:3" ht="16.2" thickBot="1" x14ac:dyDescent="0.35">
      <c r="A93" s="253" t="s">
        <v>194</v>
      </c>
      <c r="B93" s="254" t="s">
        <v>478</v>
      </c>
      <c r="C93" s="294">
        <f>'CUSTO SUBST FÉRIAS'!D11</f>
        <v>18.767295000000004</v>
      </c>
    </row>
    <row r="94" spans="1:3" ht="16.2" thickBot="1" x14ac:dyDescent="0.35">
      <c r="A94" s="253" t="s">
        <v>196</v>
      </c>
      <c r="B94" s="254" t="s">
        <v>479</v>
      </c>
      <c r="C94" s="301">
        <v>0.27</v>
      </c>
    </row>
    <row r="95" spans="1:3" ht="16.2" thickBot="1" x14ac:dyDescent="0.35">
      <c r="A95" s="253" t="s">
        <v>198</v>
      </c>
      <c r="B95" s="254" t="s">
        <v>480</v>
      </c>
      <c r="C95" s="301">
        <v>0.04</v>
      </c>
    </row>
    <row r="96" spans="1:3" ht="16.2" thickBot="1" x14ac:dyDescent="0.35">
      <c r="A96" s="253" t="s">
        <v>200</v>
      </c>
      <c r="B96" s="254" t="s">
        <v>481</v>
      </c>
      <c r="C96" s="301">
        <v>0.27</v>
      </c>
    </row>
    <row r="97" spans="1:3" ht="16.2" thickBot="1" x14ac:dyDescent="0.35">
      <c r="A97" s="253" t="s">
        <v>201</v>
      </c>
      <c r="B97" s="254" t="s">
        <v>482</v>
      </c>
      <c r="C97" s="301">
        <v>0.08</v>
      </c>
    </row>
    <row r="98" spans="1:3" ht="16.2" thickBot="1" x14ac:dyDescent="0.35">
      <c r="A98" s="253" t="s">
        <v>203</v>
      </c>
      <c r="B98" s="254" t="s">
        <v>205</v>
      </c>
      <c r="C98" s="301"/>
    </row>
    <row r="99" spans="1:3" ht="16.2" thickBot="1" x14ac:dyDescent="0.35">
      <c r="A99" s="464" t="s">
        <v>221</v>
      </c>
      <c r="B99" s="465"/>
      <c r="C99" s="300">
        <f>SUM(C93:C98)</f>
        <v>19.427295000000001</v>
      </c>
    </row>
    <row r="102" spans="1:3" x14ac:dyDescent="0.3">
      <c r="A102" s="467" t="s">
        <v>244</v>
      </c>
      <c r="B102" s="467"/>
      <c r="C102" s="467"/>
    </row>
    <row r="103" spans="1:3" ht="16.2" thickBot="1" x14ac:dyDescent="0.35">
      <c r="A103" s="250"/>
    </row>
    <row r="104" spans="1:3" ht="16.2" thickBot="1" x14ac:dyDescent="0.35">
      <c r="A104" s="251" t="s">
        <v>245</v>
      </c>
      <c r="B104" s="283" t="s">
        <v>246</v>
      </c>
      <c r="C104" s="283" t="s">
        <v>193</v>
      </c>
    </row>
    <row r="105" spans="1:3" ht="16.2" thickBot="1" x14ac:dyDescent="0.35">
      <c r="A105" s="253" t="s">
        <v>194</v>
      </c>
      <c r="B105" s="254" t="s">
        <v>279</v>
      </c>
      <c r="C105" s="255">
        <v>0</v>
      </c>
    </row>
    <row r="106" spans="1:3" ht="16.2" thickBot="1" x14ac:dyDescent="0.35">
      <c r="A106" s="464" t="s">
        <v>16</v>
      </c>
      <c r="B106" s="465"/>
      <c r="C106" s="311">
        <f>SUM(C105)</f>
        <v>0</v>
      </c>
    </row>
    <row r="109" spans="1:3" x14ac:dyDescent="0.3">
      <c r="A109" s="467" t="s">
        <v>247</v>
      </c>
      <c r="B109" s="467"/>
      <c r="C109" s="467"/>
    </row>
    <row r="110" spans="1:3" ht="16.2" thickBot="1" x14ac:dyDescent="0.35">
      <c r="A110" s="250"/>
    </row>
    <row r="111" spans="1:3" ht="16.2" thickBot="1" x14ac:dyDescent="0.35">
      <c r="A111" s="251">
        <v>4</v>
      </c>
      <c r="B111" s="283" t="s">
        <v>248</v>
      </c>
      <c r="C111" s="283" t="s">
        <v>193</v>
      </c>
    </row>
    <row r="112" spans="1:3" ht="16.2" thickBot="1" x14ac:dyDescent="0.35">
      <c r="A112" s="253" t="s">
        <v>239</v>
      </c>
      <c r="B112" s="254" t="s">
        <v>240</v>
      </c>
      <c r="C112" s="310">
        <f>C99</f>
        <v>19.427295000000001</v>
      </c>
    </row>
    <row r="113" spans="1:3" ht="16.2" thickBot="1" x14ac:dyDescent="0.35">
      <c r="A113" s="253" t="s">
        <v>245</v>
      </c>
      <c r="B113" s="254" t="s">
        <v>246</v>
      </c>
      <c r="C113" s="308">
        <f>C106</f>
        <v>0</v>
      </c>
    </row>
    <row r="114" spans="1:3" ht="16.2" thickBot="1" x14ac:dyDescent="0.35">
      <c r="A114" s="464" t="s">
        <v>16</v>
      </c>
      <c r="B114" s="465"/>
      <c r="C114" s="300">
        <f>SUM(C112:C113)</f>
        <v>19.427295000000001</v>
      </c>
    </row>
    <row r="117" spans="1:3" x14ac:dyDescent="0.3">
      <c r="A117" s="466" t="s">
        <v>249</v>
      </c>
      <c r="B117" s="466"/>
      <c r="C117" s="466"/>
    </row>
    <row r="118" spans="1:3" ht="16.2" thickBot="1" x14ac:dyDescent="0.35"/>
    <row r="119" spans="1:3" ht="16.2" thickBot="1" x14ac:dyDescent="0.35">
      <c r="A119" s="251">
        <v>5</v>
      </c>
      <c r="B119" s="259" t="s">
        <v>134</v>
      </c>
      <c r="C119" s="283" t="s">
        <v>193</v>
      </c>
    </row>
    <row r="120" spans="1:3" ht="16.2" thickBot="1" x14ac:dyDescent="0.35">
      <c r="A120" s="253" t="s">
        <v>194</v>
      </c>
      <c r="B120" s="254" t="s">
        <v>486</v>
      </c>
      <c r="C120" s="301">
        <v>54.48</v>
      </c>
    </row>
    <row r="121" spans="1:3" ht="16.2" thickBot="1" x14ac:dyDescent="0.35">
      <c r="A121" s="253" t="s">
        <v>196</v>
      </c>
      <c r="B121" s="254" t="s">
        <v>487</v>
      </c>
      <c r="C121" s="301">
        <v>454.62</v>
      </c>
    </row>
    <row r="122" spans="1:3" ht="16.2" thickBot="1" x14ac:dyDescent="0.35">
      <c r="A122" s="253" t="s">
        <v>198</v>
      </c>
      <c r="B122" s="254" t="s">
        <v>488</v>
      </c>
      <c r="C122" s="301">
        <v>9.26</v>
      </c>
    </row>
    <row r="123" spans="1:3" ht="16.2" thickBot="1" x14ac:dyDescent="0.35">
      <c r="A123" s="253" t="s">
        <v>200</v>
      </c>
      <c r="B123" s="254" t="s">
        <v>205</v>
      </c>
      <c r="C123" s="301"/>
    </row>
    <row r="124" spans="1:3" ht="16.2" thickBot="1" x14ac:dyDescent="0.35">
      <c r="A124" s="464" t="s">
        <v>221</v>
      </c>
      <c r="B124" s="465"/>
      <c r="C124" s="311">
        <f>SUM(C120:C123)</f>
        <v>518.36</v>
      </c>
    </row>
    <row r="127" spans="1:3" x14ac:dyDescent="0.3">
      <c r="A127" s="466" t="s">
        <v>253</v>
      </c>
      <c r="B127" s="466"/>
      <c r="C127" s="466"/>
    </row>
    <row r="128" spans="1:3" ht="16.2" thickBot="1" x14ac:dyDescent="0.35"/>
    <row r="129" spans="1:4" ht="16.2" thickBot="1" x14ac:dyDescent="0.35">
      <c r="A129" s="251">
        <v>6</v>
      </c>
      <c r="B129" s="259" t="s">
        <v>135</v>
      </c>
      <c r="C129" s="283" t="s">
        <v>214</v>
      </c>
      <c r="D129" s="283" t="s">
        <v>193</v>
      </c>
    </row>
    <row r="130" spans="1:4" ht="16.2" thickBot="1" x14ac:dyDescent="0.35">
      <c r="A130" s="253" t="s">
        <v>194</v>
      </c>
      <c r="B130" s="254" t="s">
        <v>483</v>
      </c>
      <c r="C130" s="301"/>
      <c r="D130" s="309">
        <v>6.84</v>
      </c>
    </row>
    <row r="131" spans="1:4" ht="16.2" thickBot="1" x14ac:dyDescent="0.35">
      <c r="A131" s="253" t="s">
        <v>196</v>
      </c>
      <c r="B131" s="254" t="s">
        <v>484</v>
      </c>
      <c r="C131" s="301"/>
      <c r="D131" s="309">
        <v>8.5399999999999991</v>
      </c>
    </row>
    <row r="132" spans="1:4" ht="16.2" thickBot="1" x14ac:dyDescent="0.35">
      <c r="A132" s="253" t="s">
        <v>198</v>
      </c>
      <c r="B132" s="254" t="s">
        <v>168</v>
      </c>
      <c r="C132" s="301"/>
      <c r="D132" s="309">
        <f>C132*C147</f>
        <v>0</v>
      </c>
    </row>
    <row r="133" spans="1:4" ht="16.2" thickBot="1" x14ac:dyDescent="0.35">
      <c r="A133" s="253"/>
      <c r="B133" s="254" t="s">
        <v>254</v>
      </c>
      <c r="C133" s="256">
        <v>3.6499999999999998E-2</v>
      </c>
      <c r="D133" s="310">
        <f>C133*C147</f>
        <v>27.222971915500001</v>
      </c>
    </row>
    <row r="134" spans="1:4" ht="16.2" thickBot="1" x14ac:dyDescent="0.35">
      <c r="A134" s="253"/>
      <c r="B134" s="254" t="s">
        <v>255</v>
      </c>
      <c r="C134" s="255">
        <v>0</v>
      </c>
      <c r="D134" s="310">
        <f>C134*C149</f>
        <v>0</v>
      </c>
    </row>
    <row r="135" spans="1:4" ht="16.2" thickBot="1" x14ac:dyDescent="0.35">
      <c r="A135" s="253"/>
      <c r="B135" s="254" t="s">
        <v>256</v>
      </c>
      <c r="C135" s="306">
        <v>0.05</v>
      </c>
      <c r="D135" s="310">
        <f>C135*C147</f>
        <v>37.291742350000007</v>
      </c>
    </row>
    <row r="136" spans="1:4" ht="16.2" thickBot="1" x14ac:dyDescent="0.35">
      <c r="A136" s="464" t="s">
        <v>221</v>
      </c>
      <c r="B136" s="465"/>
      <c r="C136" s="302">
        <f>SUM(C130:C135)</f>
        <v>8.6499999999999994E-2</v>
      </c>
      <c r="D136" s="300">
        <f>SUM(D130:D135)</f>
        <v>79.894714265499999</v>
      </c>
    </row>
    <row r="139" spans="1:4" x14ac:dyDescent="0.3">
      <c r="A139" s="466" t="s">
        <v>257</v>
      </c>
      <c r="B139" s="466"/>
      <c r="C139" s="466"/>
    </row>
    <row r="140" spans="1:4" ht="16.2" thickBot="1" x14ac:dyDescent="0.35"/>
    <row r="141" spans="1:4" ht="16.2" thickBot="1" x14ac:dyDescent="0.35">
      <c r="A141" s="251"/>
      <c r="B141" s="283" t="s">
        <v>258</v>
      </c>
      <c r="C141" s="283" t="s">
        <v>193</v>
      </c>
    </row>
    <row r="142" spans="1:4" ht="16.2" thickBot="1" x14ac:dyDescent="0.35">
      <c r="A142" s="261" t="s">
        <v>194</v>
      </c>
      <c r="B142" s="254" t="s">
        <v>191</v>
      </c>
      <c r="C142" s="295">
        <f>C29</f>
        <v>96.93</v>
      </c>
    </row>
    <row r="143" spans="1:4" ht="16.2" thickBot="1" x14ac:dyDescent="0.35">
      <c r="A143" s="261" t="s">
        <v>196</v>
      </c>
      <c r="B143" s="254" t="s">
        <v>206</v>
      </c>
      <c r="C143" s="295">
        <f>C72</f>
        <v>104.77363200000001</v>
      </c>
    </row>
    <row r="144" spans="1:4" ht="16.2" thickBot="1" x14ac:dyDescent="0.35">
      <c r="A144" s="261" t="s">
        <v>198</v>
      </c>
      <c r="B144" s="254" t="s">
        <v>229</v>
      </c>
      <c r="C144" s="294">
        <f>C84</f>
        <v>6.3439200000000007</v>
      </c>
    </row>
    <row r="145" spans="1:3" ht="16.2" thickBot="1" x14ac:dyDescent="0.35">
      <c r="A145" s="261" t="s">
        <v>200</v>
      </c>
      <c r="B145" s="254" t="s">
        <v>237</v>
      </c>
      <c r="C145" s="294">
        <f>C114</f>
        <v>19.427295000000001</v>
      </c>
    </row>
    <row r="146" spans="1:3" ht="16.2" thickBot="1" x14ac:dyDescent="0.35">
      <c r="A146" s="261" t="s">
        <v>201</v>
      </c>
      <c r="B146" s="254" t="s">
        <v>249</v>
      </c>
      <c r="C146" s="255">
        <f>C124</f>
        <v>518.36</v>
      </c>
    </row>
    <row r="147" spans="1:3" ht="16.2" thickBot="1" x14ac:dyDescent="0.35">
      <c r="A147" s="464" t="s">
        <v>259</v>
      </c>
      <c r="B147" s="465"/>
      <c r="C147" s="295">
        <f>SUM(C142:C146)</f>
        <v>745.83484700000008</v>
      </c>
    </row>
    <row r="148" spans="1:3" ht="16.2" thickBot="1" x14ac:dyDescent="0.35">
      <c r="A148" s="261" t="s">
        <v>203</v>
      </c>
      <c r="B148" s="254" t="s">
        <v>260</v>
      </c>
      <c r="C148" s="255">
        <v>79.89</v>
      </c>
    </row>
    <row r="149" spans="1:3" ht="16.2" thickBot="1" x14ac:dyDescent="0.35">
      <c r="A149" s="464" t="s">
        <v>261</v>
      </c>
      <c r="B149" s="465"/>
      <c r="C149" s="299">
        <f>SUM(C147:C148)</f>
        <v>825.72484700000007</v>
      </c>
    </row>
  </sheetData>
  <mergeCells count="42">
    <mergeCell ref="A149:B149"/>
    <mergeCell ref="A99:B99"/>
    <mergeCell ref="A102:C102"/>
    <mergeCell ref="A106:B106"/>
    <mergeCell ref="A109:C109"/>
    <mergeCell ref="A114:B114"/>
    <mergeCell ref="A117:C117"/>
    <mergeCell ref="A124:B124"/>
    <mergeCell ref="A127:C127"/>
    <mergeCell ref="A136:B136"/>
    <mergeCell ref="A139:C139"/>
    <mergeCell ref="A147:B147"/>
    <mergeCell ref="A90:C90"/>
    <mergeCell ref="A34:C34"/>
    <mergeCell ref="A39:B39"/>
    <mergeCell ref="A42:D42"/>
    <mergeCell ref="A53:B53"/>
    <mergeCell ref="A56:C56"/>
    <mergeCell ref="A63:B63"/>
    <mergeCell ref="A66:C66"/>
    <mergeCell ref="A72:B72"/>
    <mergeCell ref="A75:C75"/>
    <mergeCell ref="A84:B84"/>
    <mergeCell ref="A87:C87"/>
    <mergeCell ref="A1:D1"/>
    <mergeCell ref="A2:D2"/>
    <mergeCell ref="A3:D3"/>
    <mergeCell ref="A19:C19"/>
    <mergeCell ref="A29:B29"/>
    <mergeCell ref="A16:B16"/>
    <mergeCell ref="A17:B17"/>
    <mergeCell ref="A9:D9"/>
    <mergeCell ref="C10:D10"/>
    <mergeCell ref="C11:D11"/>
    <mergeCell ref="C12:D12"/>
    <mergeCell ref="C13:D13"/>
    <mergeCell ref="A15:D15"/>
    <mergeCell ref="A32:C32"/>
    <mergeCell ref="A5:D5"/>
    <mergeCell ref="A6:D6"/>
    <mergeCell ref="A7:D7"/>
    <mergeCell ref="A8:D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BreakPreview" zoomScaleNormal="100" zoomScaleSheetLayoutView="100" workbookViewId="0">
      <selection activeCell="D11" sqref="D11"/>
    </sheetView>
  </sheetViews>
  <sheetFormatPr defaultColWidth="8.88671875" defaultRowHeight="14.4" x14ac:dyDescent="0.3"/>
  <cols>
    <col min="1" max="1" width="87.6640625" style="303" bestFit="1" customWidth="1"/>
    <col min="2" max="4" width="14.44140625" style="303" customWidth="1"/>
    <col min="5" max="16384" width="8.88671875" style="303"/>
  </cols>
  <sheetData>
    <row r="1" spans="1:4" ht="21" customHeight="1" x14ac:dyDescent="0.3">
      <c r="A1" s="472" t="s">
        <v>315</v>
      </c>
      <c r="B1" s="472"/>
      <c r="C1" s="472"/>
      <c r="D1" s="472"/>
    </row>
    <row r="2" spans="1:4" ht="21" customHeight="1" x14ac:dyDescent="0.3">
      <c r="A2" s="318" t="s">
        <v>182</v>
      </c>
      <c r="B2" s="317" t="s">
        <v>320</v>
      </c>
      <c r="C2" s="317" t="s">
        <v>321</v>
      </c>
      <c r="D2" s="317" t="s">
        <v>322</v>
      </c>
    </row>
    <row r="3" spans="1:4" ht="21" customHeight="1" x14ac:dyDescent="0.3">
      <c r="A3" s="305" t="s">
        <v>316</v>
      </c>
      <c r="B3" s="304">
        <f>SERVENTE!C29/12</f>
        <v>100.98416666666667</v>
      </c>
      <c r="C3" s="304">
        <f>ENCARREGADO!C29/12</f>
        <v>150.06166666666667</v>
      </c>
      <c r="D3" s="304">
        <f>JARDINAGEM!C29/12</f>
        <v>8.0775000000000006</v>
      </c>
    </row>
    <row r="4" spans="1:4" ht="21" customHeight="1" x14ac:dyDescent="0.3">
      <c r="A4" s="305" t="s">
        <v>317</v>
      </c>
      <c r="B4" s="304">
        <f>B3/12</f>
        <v>8.4153472222222216</v>
      </c>
      <c r="C4" s="304">
        <f>C3/12</f>
        <v>12.505138888888888</v>
      </c>
      <c r="D4" s="304">
        <f>D3/12</f>
        <v>0.67312500000000008</v>
      </c>
    </row>
    <row r="5" spans="1:4" ht="21" customHeight="1" x14ac:dyDescent="0.3">
      <c r="A5" s="305" t="s">
        <v>20</v>
      </c>
      <c r="B5" s="304">
        <f>B3/12</f>
        <v>8.4153472222222216</v>
      </c>
      <c r="C5" s="304">
        <f>C3/12</f>
        <v>12.505138888888888</v>
      </c>
      <c r="D5" s="304">
        <f>D3/12</f>
        <v>0.67312500000000008</v>
      </c>
    </row>
    <row r="6" spans="1:4" ht="21" customHeight="1" x14ac:dyDescent="0.3">
      <c r="A6" s="305" t="s">
        <v>318</v>
      </c>
      <c r="B6" s="304">
        <f>B5/3</f>
        <v>2.8051157407407405</v>
      </c>
      <c r="C6" s="304">
        <f>C5/3</f>
        <v>4.1683796296296292</v>
      </c>
      <c r="D6" s="304">
        <f>D5/3</f>
        <v>0.22437500000000002</v>
      </c>
    </row>
    <row r="7" spans="1:4" ht="21" customHeight="1" x14ac:dyDescent="0.3">
      <c r="A7" s="321" t="s">
        <v>362</v>
      </c>
      <c r="B7" s="304">
        <f>(SUM(B3:B6))*36.8%</f>
        <v>44.388151481481486</v>
      </c>
      <c r="C7" s="304">
        <f>(SUM(C3:C6))*36.8%</f>
        <v>65.96043925925926</v>
      </c>
      <c r="D7" s="304">
        <f>(SUM(D3:D6))*36.8%</f>
        <v>3.5505100000000005</v>
      </c>
    </row>
    <row r="8" spans="1:4" ht="21" customHeight="1" x14ac:dyDescent="0.35">
      <c r="A8" s="305" t="s">
        <v>319</v>
      </c>
      <c r="B8" s="304">
        <f>SERVENTE!C61/12</f>
        <v>0.5</v>
      </c>
      <c r="C8" s="304">
        <f>ENCARREGADO!C62/12</f>
        <v>0.5</v>
      </c>
      <c r="D8" s="304">
        <f>JARDINAGEM!C62/12</f>
        <v>0.5</v>
      </c>
    </row>
    <row r="9" spans="1:4" ht="21" customHeight="1" x14ac:dyDescent="0.3">
      <c r="A9" s="305" t="s">
        <v>230</v>
      </c>
      <c r="B9" s="304">
        <f>SERVENTE!C83/12</f>
        <v>8.275366666666665</v>
      </c>
      <c r="C9" s="304">
        <f>ENCARREGADO!C84/12</f>
        <v>20.368086666666667</v>
      </c>
      <c r="D9" s="304">
        <f>JARDINAGEM!C84/12</f>
        <v>0.52866000000000002</v>
      </c>
    </row>
    <row r="10" spans="1:4" ht="21" customHeight="1" x14ac:dyDescent="0.35">
      <c r="A10" s="305" t="s">
        <v>250</v>
      </c>
      <c r="B10" s="304">
        <f>SERVENTE!C119/12</f>
        <v>3.9624999999999999</v>
      </c>
      <c r="C10" s="304">
        <f>ENCARREGADO!C120/12</f>
        <v>4.0925000000000002</v>
      </c>
      <c r="D10" s="304">
        <f>JARDINAGEM!C120/12</f>
        <v>4.54</v>
      </c>
    </row>
    <row r="11" spans="1:4" ht="21" customHeight="1" x14ac:dyDescent="0.35">
      <c r="A11" s="318" t="s">
        <v>16</v>
      </c>
      <c r="B11" s="316">
        <f>SUM(B3:B10)</f>
        <v>177.74599499999999</v>
      </c>
      <c r="C11" s="316">
        <f>SUM(C3:C10)</f>
        <v>270.16134999999997</v>
      </c>
      <c r="D11" s="316">
        <f>SUM(D3:D10)</f>
        <v>18.767295000000004</v>
      </c>
    </row>
  </sheetData>
  <mergeCells count="1">
    <mergeCell ref="A1:D1"/>
  </mergeCells>
  <pageMargins left="0.511811024" right="0.511811024" top="0.78740157499999996" bottom="0.78740157499999996" header="0.31496062000000002" footer="0.31496062000000002"/>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vt:i4>
      </vt:variant>
    </vt:vector>
  </HeadingPairs>
  <TitlesOfParts>
    <vt:vector size="8" baseType="lpstr">
      <vt:lpstr>Custo por trabalhador - cálculo</vt:lpstr>
      <vt:lpstr>QUANT.PESSOAS-CADERNO TÉCNICO</vt:lpstr>
      <vt:lpstr>PRODUTIVIDADE</vt:lpstr>
      <vt:lpstr>SERVENTE</vt:lpstr>
      <vt:lpstr>ENCARREGADO</vt:lpstr>
      <vt:lpstr>JARDINAGEM</vt:lpstr>
      <vt:lpstr>CUSTO SUBST FÉRIAS</vt:lpstr>
      <vt:lpstr>PRODUTIVIDADE!Area_de_impressao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Ivan Lima Araújo</cp:lastModifiedBy>
  <dcterms:created xsi:type="dcterms:W3CDTF">2018-01-23T19:35:16Z</dcterms:created>
  <dcterms:modified xsi:type="dcterms:W3CDTF">2021-06-23T13:56:17Z</dcterms:modified>
</cp:coreProperties>
</file>